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0" windowWidth="19140" windowHeight="6840" activeTab="1"/>
  </bookViews>
  <sheets>
    <sheet name="Print" sheetId="4" r:id="rId1"/>
    <sheet name="Data" sheetId="1" r:id="rId2"/>
    <sheet name="Summary" sheetId="2" r:id="rId3"/>
    <sheet name="Lookups" sheetId="3" r:id="rId4"/>
  </sheets>
  <definedNames>
    <definedName name="_xlnm._FilterDatabase" localSheetId="1" hidden="1">Data!$A$2:$AD$236</definedName>
  </definedNames>
  <calcPr calcId="144525"/>
</workbook>
</file>

<file path=xl/calcChain.xml><?xml version="1.0" encoding="utf-8"?>
<calcChain xmlns="http://schemas.openxmlformats.org/spreadsheetml/2006/main">
  <c r="T237" i="1" l="1"/>
  <c r="T238" i="1" s="1"/>
  <c r="S237" i="1"/>
  <c r="V233" i="1"/>
  <c r="V232" i="1"/>
  <c r="V231" i="1"/>
  <c r="V230" i="1"/>
  <c r="V229" i="1"/>
  <c r="V228" i="1"/>
  <c r="V227" i="1"/>
  <c r="V226" i="1"/>
  <c r="V225" i="1"/>
  <c r="V224" i="1"/>
  <c r="V223" i="1"/>
  <c r="V222" i="1"/>
  <c r="V221" i="1"/>
  <c r="V220" i="1"/>
  <c r="V219" i="1"/>
  <c r="V218" i="1"/>
  <c r="V217" i="1"/>
  <c r="V216" i="1"/>
  <c r="V215" i="1"/>
  <c r="V214" i="1"/>
  <c r="V213" i="1"/>
  <c r="V212" i="1"/>
  <c r="V211" i="1"/>
  <c r="V210" i="1"/>
  <c r="V209" i="1"/>
  <c r="V208" i="1"/>
  <c r="V207" i="1"/>
  <c r="V206" i="1"/>
  <c r="V205" i="1"/>
  <c r="V204" i="1"/>
  <c r="V203" i="1"/>
  <c r="V202" i="1"/>
  <c r="V201" i="1"/>
  <c r="V200" i="1"/>
  <c r="V199" i="1"/>
  <c r="V198" i="1"/>
  <c r="V197" i="1"/>
  <c r="V196" i="1"/>
  <c r="V195" i="1"/>
  <c r="V194" i="1"/>
  <c r="V193" i="1"/>
  <c r="V192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L31" i="1"/>
  <c r="W95" i="1"/>
  <c r="U95" i="1"/>
  <c r="T95" i="1"/>
  <c r="P95" i="1"/>
  <c r="Q95" i="1" s="1"/>
  <c r="R95" i="1" s="1"/>
  <c r="L95" i="1"/>
  <c r="G95" i="1"/>
  <c r="W58" i="1"/>
  <c r="T58" i="1"/>
  <c r="P58" i="1"/>
  <c r="Q58" i="1" s="1"/>
  <c r="R58" i="1" s="1"/>
  <c r="L58" i="1"/>
  <c r="G58" i="1"/>
  <c r="V95" i="1" l="1"/>
  <c r="U58" i="1"/>
  <c r="U233" i="1"/>
  <c r="T233" i="1"/>
  <c r="U232" i="1"/>
  <c r="T232" i="1"/>
  <c r="U231" i="1"/>
  <c r="T231" i="1"/>
  <c r="U230" i="1"/>
  <c r="T230" i="1"/>
  <c r="U229" i="1"/>
  <c r="T229" i="1"/>
  <c r="U228" i="1"/>
  <c r="T228" i="1"/>
  <c r="U227" i="1"/>
  <c r="T227" i="1"/>
  <c r="U226" i="1"/>
  <c r="T226" i="1"/>
  <c r="U225" i="1"/>
  <c r="T225" i="1"/>
  <c r="U224" i="1"/>
  <c r="T224" i="1"/>
  <c r="U223" i="1"/>
  <c r="T223" i="1"/>
  <c r="U222" i="1"/>
  <c r="T222" i="1"/>
  <c r="U221" i="1"/>
  <c r="T221" i="1"/>
  <c r="U220" i="1"/>
  <c r="T220" i="1"/>
  <c r="U219" i="1"/>
  <c r="T219" i="1"/>
  <c r="U218" i="1"/>
  <c r="T218" i="1"/>
  <c r="U217" i="1"/>
  <c r="T217" i="1"/>
  <c r="U216" i="1"/>
  <c r="T216" i="1"/>
  <c r="U215" i="1"/>
  <c r="T215" i="1"/>
  <c r="U214" i="1"/>
  <c r="T214" i="1"/>
  <c r="U213" i="1"/>
  <c r="T213" i="1"/>
  <c r="U212" i="1"/>
  <c r="T212" i="1"/>
  <c r="U211" i="1"/>
  <c r="T211" i="1"/>
  <c r="U210" i="1"/>
  <c r="T210" i="1"/>
  <c r="U209" i="1"/>
  <c r="T209" i="1"/>
  <c r="U208" i="1"/>
  <c r="T208" i="1"/>
  <c r="U207" i="1"/>
  <c r="T207" i="1"/>
  <c r="U206" i="1"/>
  <c r="T206" i="1"/>
  <c r="U205" i="1"/>
  <c r="T205" i="1"/>
  <c r="U204" i="1"/>
  <c r="T204" i="1"/>
  <c r="U203" i="1"/>
  <c r="T203" i="1"/>
  <c r="U202" i="1"/>
  <c r="T202" i="1"/>
  <c r="U201" i="1"/>
  <c r="T201" i="1"/>
  <c r="U200" i="1"/>
  <c r="T200" i="1"/>
  <c r="U199" i="1"/>
  <c r="T199" i="1"/>
  <c r="U198" i="1"/>
  <c r="T198" i="1"/>
  <c r="U197" i="1"/>
  <c r="T197" i="1"/>
  <c r="U196" i="1"/>
  <c r="T196" i="1"/>
  <c r="U195" i="1"/>
  <c r="T195" i="1"/>
  <c r="U194" i="1"/>
  <c r="T194" i="1"/>
  <c r="U193" i="1"/>
  <c r="T193" i="1"/>
  <c r="U192" i="1"/>
  <c r="T192" i="1"/>
  <c r="U191" i="1"/>
  <c r="T191" i="1"/>
  <c r="U190" i="1"/>
  <c r="T190" i="1"/>
  <c r="U189" i="1"/>
  <c r="T189" i="1"/>
  <c r="U188" i="1"/>
  <c r="T188" i="1"/>
  <c r="U187" i="1"/>
  <c r="T187" i="1"/>
  <c r="U186" i="1"/>
  <c r="T186" i="1"/>
  <c r="U185" i="1"/>
  <c r="T185" i="1"/>
  <c r="U184" i="1"/>
  <c r="T184" i="1"/>
  <c r="U183" i="1"/>
  <c r="T183" i="1"/>
  <c r="U182" i="1"/>
  <c r="T182" i="1"/>
  <c r="U181" i="1"/>
  <c r="T181" i="1"/>
  <c r="U180" i="1"/>
  <c r="T180" i="1"/>
  <c r="U179" i="1"/>
  <c r="T179" i="1"/>
  <c r="U178" i="1"/>
  <c r="T178" i="1"/>
  <c r="U177" i="1"/>
  <c r="T177" i="1"/>
  <c r="U176" i="1"/>
  <c r="T176" i="1"/>
  <c r="U175" i="1"/>
  <c r="T175" i="1"/>
  <c r="U174" i="1"/>
  <c r="T174" i="1"/>
  <c r="U173" i="1"/>
  <c r="T173" i="1"/>
  <c r="U172" i="1"/>
  <c r="T172" i="1"/>
  <c r="U171" i="1"/>
  <c r="T171" i="1"/>
  <c r="U170" i="1"/>
  <c r="T170" i="1"/>
  <c r="U169" i="1"/>
  <c r="T169" i="1"/>
  <c r="U168" i="1"/>
  <c r="T168" i="1"/>
  <c r="U167" i="1"/>
  <c r="T167" i="1"/>
  <c r="U166" i="1"/>
  <c r="T166" i="1"/>
  <c r="U165" i="1"/>
  <c r="T165" i="1"/>
  <c r="U164" i="1"/>
  <c r="T164" i="1"/>
  <c r="U163" i="1"/>
  <c r="T163" i="1"/>
  <c r="U162" i="1"/>
  <c r="T162" i="1"/>
  <c r="U161" i="1"/>
  <c r="T161" i="1"/>
  <c r="U160" i="1"/>
  <c r="T160" i="1"/>
  <c r="U159" i="1"/>
  <c r="T159" i="1"/>
  <c r="U158" i="1"/>
  <c r="T158" i="1"/>
  <c r="U157" i="1"/>
  <c r="T157" i="1"/>
  <c r="U156" i="1"/>
  <c r="T156" i="1"/>
  <c r="U155" i="1"/>
  <c r="T155" i="1"/>
  <c r="U154" i="1"/>
  <c r="T154" i="1"/>
  <c r="U153" i="1"/>
  <c r="T153" i="1"/>
  <c r="U152" i="1"/>
  <c r="T152" i="1"/>
  <c r="U151" i="1"/>
  <c r="T151" i="1"/>
  <c r="U150" i="1"/>
  <c r="T150" i="1"/>
  <c r="U149" i="1"/>
  <c r="T149" i="1"/>
  <c r="U148" i="1"/>
  <c r="T148" i="1"/>
  <c r="U147" i="1"/>
  <c r="T147" i="1"/>
  <c r="U146" i="1"/>
  <c r="T146" i="1"/>
  <c r="U145" i="1"/>
  <c r="T145" i="1"/>
  <c r="U144" i="1"/>
  <c r="T144" i="1"/>
  <c r="U143" i="1"/>
  <c r="T143" i="1"/>
  <c r="U142" i="1"/>
  <c r="T142" i="1"/>
  <c r="U141" i="1"/>
  <c r="T141" i="1"/>
  <c r="U140" i="1"/>
  <c r="T140" i="1"/>
  <c r="U139" i="1"/>
  <c r="T139" i="1"/>
  <c r="U138" i="1"/>
  <c r="T138" i="1"/>
  <c r="U137" i="1"/>
  <c r="T137" i="1"/>
  <c r="U136" i="1"/>
  <c r="T136" i="1"/>
  <c r="U135" i="1"/>
  <c r="T135" i="1"/>
  <c r="U134" i="1"/>
  <c r="T134" i="1"/>
  <c r="U133" i="1"/>
  <c r="T133" i="1"/>
  <c r="U132" i="1"/>
  <c r="T132" i="1"/>
  <c r="U131" i="1"/>
  <c r="T131" i="1"/>
  <c r="U130" i="1"/>
  <c r="T130" i="1"/>
  <c r="U129" i="1"/>
  <c r="T129" i="1"/>
  <c r="U128" i="1"/>
  <c r="T128" i="1"/>
  <c r="U127" i="1"/>
  <c r="T127" i="1"/>
  <c r="U126" i="1"/>
  <c r="T126" i="1"/>
  <c r="U125" i="1"/>
  <c r="T125" i="1"/>
  <c r="U124" i="1"/>
  <c r="T124" i="1"/>
  <c r="U123" i="1"/>
  <c r="T123" i="1"/>
  <c r="U122" i="1"/>
  <c r="T122" i="1"/>
  <c r="U121" i="1"/>
  <c r="T121" i="1"/>
  <c r="U120" i="1"/>
  <c r="T120" i="1"/>
  <c r="U119" i="1"/>
  <c r="T119" i="1"/>
  <c r="U118" i="1"/>
  <c r="T118" i="1"/>
  <c r="U117" i="1"/>
  <c r="T117" i="1"/>
  <c r="U116" i="1"/>
  <c r="T116" i="1"/>
  <c r="U115" i="1"/>
  <c r="T115" i="1"/>
  <c r="U114" i="1"/>
  <c r="T114" i="1"/>
  <c r="U113" i="1"/>
  <c r="T113" i="1"/>
  <c r="U112" i="1"/>
  <c r="T112" i="1"/>
  <c r="U111" i="1"/>
  <c r="T111" i="1"/>
  <c r="U110" i="1"/>
  <c r="T110" i="1"/>
  <c r="U109" i="1"/>
  <c r="T109" i="1"/>
  <c r="U108" i="1"/>
  <c r="T108" i="1"/>
  <c r="U107" i="1"/>
  <c r="T107" i="1"/>
  <c r="U106" i="1"/>
  <c r="T106" i="1"/>
  <c r="U105" i="1"/>
  <c r="T105" i="1"/>
  <c r="U104" i="1"/>
  <c r="T104" i="1"/>
  <c r="U103" i="1"/>
  <c r="T103" i="1"/>
  <c r="U102" i="1"/>
  <c r="T102" i="1"/>
  <c r="U101" i="1"/>
  <c r="T101" i="1"/>
  <c r="U100" i="1"/>
  <c r="T100" i="1"/>
  <c r="U99" i="1"/>
  <c r="T99" i="1"/>
  <c r="U98" i="1"/>
  <c r="T98" i="1"/>
  <c r="U97" i="1"/>
  <c r="T97" i="1"/>
  <c r="U96" i="1"/>
  <c r="T96" i="1"/>
  <c r="U94" i="1"/>
  <c r="T94" i="1"/>
  <c r="U93" i="1"/>
  <c r="T93" i="1"/>
  <c r="U92" i="1"/>
  <c r="T92" i="1"/>
  <c r="U91" i="1"/>
  <c r="T91" i="1"/>
  <c r="U90" i="1"/>
  <c r="T90" i="1"/>
  <c r="U89" i="1"/>
  <c r="T89" i="1"/>
  <c r="U88" i="1"/>
  <c r="T88" i="1"/>
  <c r="U87" i="1"/>
  <c r="T87" i="1"/>
  <c r="U86" i="1"/>
  <c r="T86" i="1"/>
  <c r="U85" i="1"/>
  <c r="T85" i="1"/>
  <c r="U84" i="1"/>
  <c r="T84" i="1"/>
  <c r="U83" i="1"/>
  <c r="T83" i="1"/>
  <c r="U82" i="1"/>
  <c r="T82" i="1"/>
  <c r="U81" i="1"/>
  <c r="T81" i="1"/>
  <c r="U80" i="1"/>
  <c r="T80" i="1"/>
  <c r="U79" i="1"/>
  <c r="T79" i="1"/>
  <c r="U78" i="1"/>
  <c r="T78" i="1"/>
  <c r="U77" i="1"/>
  <c r="T77" i="1"/>
  <c r="U76" i="1"/>
  <c r="T76" i="1"/>
  <c r="U75" i="1"/>
  <c r="T75" i="1"/>
  <c r="U74" i="1"/>
  <c r="T74" i="1"/>
  <c r="U73" i="1"/>
  <c r="T73" i="1"/>
  <c r="U72" i="1"/>
  <c r="T72" i="1"/>
  <c r="U71" i="1"/>
  <c r="T71" i="1"/>
  <c r="U70" i="1"/>
  <c r="T70" i="1"/>
  <c r="U69" i="1"/>
  <c r="T69" i="1"/>
  <c r="U68" i="1"/>
  <c r="T68" i="1"/>
  <c r="U67" i="1"/>
  <c r="T67" i="1"/>
  <c r="U66" i="1"/>
  <c r="T66" i="1"/>
  <c r="U65" i="1"/>
  <c r="T65" i="1"/>
  <c r="U64" i="1"/>
  <c r="T64" i="1"/>
  <c r="U63" i="1"/>
  <c r="T63" i="1"/>
  <c r="U62" i="1"/>
  <c r="T62" i="1"/>
  <c r="U61" i="1"/>
  <c r="T61" i="1"/>
  <c r="U60" i="1"/>
  <c r="T60" i="1"/>
  <c r="U59" i="1"/>
  <c r="T57" i="1"/>
  <c r="U56" i="1"/>
  <c r="T56" i="1"/>
  <c r="U55" i="1"/>
  <c r="T55" i="1"/>
  <c r="U54" i="1"/>
  <c r="T54" i="1"/>
  <c r="U53" i="1"/>
  <c r="T53" i="1"/>
  <c r="U52" i="1"/>
  <c r="T52" i="1"/>
  <c r="U51" i="1"/>
  <c r="T51" i="1"/>
  <c r="U50" i="1"/>
  <c r="T50" i="1"/>
  <c r="U49" i="1"/>
  <c r="T49" i="1"/>
  <c r="U48" i="1"/>
  <c r="T48" i="1"/>
  <c r="U47" i="1"/>
  <c r="T47" i="1"/>
  <c r="U46" i="1"/>
  <c r="T46" i="1"/>
  <c r="U45" i="1"/>
  <c r="T45" i="1"/>
  <c r="U44" i="1"/>
  <c r="T44" i="1"/>
  <c r="U43" i="1"/>
  <c r="T43" i="1"/>
  <c r="U42" i="1"/>
  <c r="T42" i="1"/>
  <c r="U41" i="1"/>
  <c r="T41" i="1"/>
  <c r="U40" i="1"/>
  <c r="T40" i="1"/>
  <c r="U39" i="1"/>
  <c r="T39" i="1"/>
  <c r="U38" i="1"/>
  <c r="T38" i="1"/>
  <c r="U37" i="1"/>
  <c r="T37" i="1"/>
  <c r="U36" i="1"/>
  <c r="T36" i="1"/>
  <c r="U35" i="1"/>
  <c r="T35" i="1"/>
  <c r="U34" i="1"/>
  <c r="T34" i="1"/>
  <c r="U33" i="1"/>
  <c r="T33" i="1"/>
  <c r="U32" i="1"/>
  <c r="T32" i="1"/>
  <c r="U31" i="1"/>
  <c r="T31" i="1"/>
  <c r="U30" i="1"/>
  <c r="T30" i="1"/>
  <c r="U29" i="1"/>
  <c r="T29" i="1"/>
  <c r="U28" i="1"/>
  <c r="T28" i="1"/>
  <c r="U27" i="1"/>
  <c r="T27" i="1"/>
  <c r="U26" i="1"/>
  <c r="T26" i="1"/>
  <c r="U25" i="1"/>
  <c r="T25" i="1"/>
  <c r="U24" i="1"/>
  <c r="T24" i="1"/>
  <c r="U23" i="1"/>
  <c r="T23" i="1"/>
  <c r="U22" i="1"/>
  <c r="T22" i="1"/>
  <c r="U21" i="1"/>
  <c r="T21" i="1"/>
  <c r="U20" i="1"/>
  <c r="T20" i="1"/>
  <c r="U19" i="1"/>
  <c r="T19" i="1"/>
  <c r="U18" i="1"/>
  <c r="T18" i="1"/>
  <c r="U17" i="1"/>
  <c r="T17" i="1"/>
  <c r="U16" i="1"/>
  <c r="T16" i="1"/>
  <c r="U15" i="1"/>
  <c r="T15" i="1"/>
  <c r="U14" i="1"/>
  <c r="T14" i="1"/>
  <c r="U13" i="1"/>
  <c r="T13" i="1"/>
  <c r="U12" i="1"/>
  <c r="T12" i="1"/>
  <c r="U11" i="1"/>
  <c r="T11" i="1"/>
  <c r="U10" i="1"/>
  <c r="T10" i="1"/>
  <c r="U9" i="1"/>
  <c r="T9" i="1"/>
  <c r="U8" i="1"/>
  <c r="T8" i="1"/>
  <c r="U7" i="1"/>
  <c r="T7" i="1"/>
  <c r="U6" i="1"/>
  <c r="T6" i="1"/>
  <c r="U5" i="1"/>
  <c r="T5" i="1"/>
  <c r="T4" i="1"/>
  <c r="U4" i="1"/>
  <c r="W150" i="1"/>
  <c r="W52" i="1"/>
  <c r="W43" i="1"/>
  <c r="W233" i="1"/>
  <c r="W232" i="1"/>
  <c r="W231" i="1"/>
  <c r="W230" i="1"/>
  <c r="W229" i="1"/>
  <c r="W228" i="1"/>
  <c r="W227" i="1"/>
  <c r="W225" i="1"/>
  <c r="W224" i="1"/>
  <c r="W223" i="1"/>
  <c r="W222" i="1"/>
  <c r="W221" i="1"/>
  <c r="W220" i="1"/>
  <c r="W219" i="1"/>
  <c r="W218" i="1"/>
  <c r="W217" i="1"/>
  <c r="W215" i="1"/>
  <c r="W214" i="1"/>
  <c r="W213" i="1"/>
  <c r="W212" i="1"/>
  <c r="W211" i="1"/>
  <c r="W210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2" i="1"/>
  <c r="W151" i="1"/>
  <c r="W149" i="1"/>
  <c r="W148" i="1"/>
  <c r="W147" i="1"/>
  <c r="W146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0" i="1"/>
  <c r="W59" i="1"/>
  <c r="W57" i="1"/>
  <c r="W56" i="1"/>
  <c r="W55" i="1"/>
  <c r="W54" i="1"/>
  <c r="W53" i="1"/>
  <c r="W51" i="1"/>
  <c r="W50" i="1"/>
  <c r="W49" i="1"/>
  <c r="W48" i="1"/>
  <c r="W47" i="1"/>
  <c r="W46" i="1"/>
  <c r="W45" i="1"/>
  <c r="W44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19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P219" i="1" l="1"/>
  <c r="Q219" i="1" s="1"/>
  <c r="R219" i="1" s="1"/>
  <c r="L219" i="1"/>
  <c r="G219" i="1"/>
  <c r="P204" i="1"/>
  <c r="Q204" i="1" s="1"/>
  <c r="R204" i="1" s="1"/>
  <c r="L204" i="1"/>
  <c r="G204" i="1"/>
  <c r="P185" i="1"/>
  <c r="Q185" i="1" s="1"/>
  <c r="R185" i="1" s="1"/>
  <c r="L185" i="1"/>
  <c r="G185" i="1"/>
  <c r="P182" i="1"/>
  <c r="Q182" i="1" s="1"/>
  <c r="R182" i="1" s="1"/>
  <c r="L182" i="1"/>
  <c r="G182" i="1"/>
  <c r="P148" i="1"/>
  <c r="Q148" i="1" s="1"/>
  <c r="R148" i="1" s="1"/>
  <c r="L148" i="1"/>
  <c r="G148" i="1"/>
  <c r="P135" i="1"/>
  <c r="Q135" i="1" s="1"/>
  <c r="R135" i="1" s="1"/>
  <c r="L135" i="1"/>
  <c r="G135" i="1"/>
  <c r="P130" i="1"/>
  <c r="Q130" i="1" s="1"/>
  <c r="R130" i="1" s="1"/>
  <c r="L130" i="1"/>
  <c r="G130" i="1"/>
  <c r="P129" i="1"/>
  <c r="Q129" i="1" s="1"/>
  <c r="R129" i="1" s="1"/>
  <c r="L129" i="1"/>
  <c r="G129" i="1"/>
  <c r="G131" i="1"/>
  <c r="L131" i="1"/>
  <c r="P131" i="1"/>
  <c r="Q131" i="1" s="1"/>
  <c r="R131" i="1" s="1"/>
  <c r="P73" i="1"/>
  <c r="Q73" i="1" s="1"/>
  <c r="R73" i="1" s="1"/>
  <c r="L73" i="1"/>
  <c r="G73" i="1"/>
  <c r="P5" i="1"/>
  <c r="Q5" i="1" s="1"/>
  <c r="R5" i="1" s="1"/>
  <c r="L5" i="1"/>
  <c r="G5" i="1"/>
  <c r="S234" i="1"/>
  <c r="R218" i="1" l="1"/>
  <c r="O157" i="1"/>
  <c r="R136" i="1"/>
  <c r="O107" i="1"/>
  <c r="R107" i="1" s="1"/>
  <c r="R97" i="1"/>
  <c r="O88" i="1"/>
  <c r="R88" i="1" s="1"/>
  <c r="O70" i="1"/>
  <c r="O65" i="1"/>
  <c r="T59" i="1"/>
  <c r="T234" i="1" s="1"/>
  <c r="R50" i="1"/>
  <c r="O41" i="1"/>
  <c r="R12" i="1"/>
  <c r="R11" i="1"/>
  <c r="R10" i="1"/>
  <c r="R4" i="1"/>
  <c r="R14" i="1"/>
  <c r="R41" i="1"/>
  <c r="R52" i="1"/>
  <c r="R65" i="1"/>
  <c r="R70" i="1"/>
  <c r="R78" i="1"/>
  <c r="R81" i="1"/>
  <c r="R87" i="1"/>
  <c r="R89" i="1"/>
  <c r="R90" i="1"/>
  <c r="R92" i="1"/>
  <c r="R101" i="1"/>
  <c r="R102" i="1"/>
  <c r="R103" i="1"/>
  <c r="R106" i="1"/>
  <c r="R111" i="1"/>
  <c r="R115" i="1"/>
  <c r="R116" i="1"/>
  <c r="R123" i="1"/>
  <c r="R126" i="1"/>
  <c r="R134" i="1"/>
  <c r="R150" i="1"/>
  <c r="R157" i="1"/>
  <c r="R192" i="1"/>
  <c r="R194" i="1"/>
  <c r="R197" i="1"/>
  <c r="R201" i="1"/>
  <c r="R207" i="1"/>
  <c r="R222" i="1"/>
  <c r="R229" i="1"/>
  <c r="G220" i="1"/>
  <c r="L220" i="1"/>
  <c r="P220" i="1"/>
  <c r="Q220" i="1" s="1"/>
  <c r="R220" i="1" s="1"/>
  <c r="G181" i="1"/>
  <c r="L181" i="1"/>
  <c r="P181" i="1"/>
  <c r="Q181" i="1" s="1"/>
  <c r="R181" i="1" s="1"/>
  <c r="G141" i="1"/>
  <c r="L141" i="1"/>
  <c r="P141" i="1"/>
  <c r="Q141" i="1" s="1"/>
  <c r="R141" i="1" s="1"/>
  <c r="G116" i="1"/>
  <c r="L116" i="1"/>
  <c r="P116" i="1"/>
  <c r="Q116" i="1" s="1"/>
  <c r="G91" i="1"/>
  <c r="L91" i="1"/>
  <c r="P91" i="1"/>
  <c r="Q91" i="1" s="1"/>
  <c r="R91" i="1" s="1"/>
  <c r="G78" i="1"/>
  <c r="L78" i="1"/>
  <c r="P78" i="1"/>
  <c r="Q78" i="1" s="1"/>
  <c r="G71" i="1"/>
  <c r="L71" i="1"/>
  <c r="P71" i="1"/>
  <c r="Q71" i="1" s="1"/>
  <c r="R71" i="1" s="1"/>
  <c r="G67" i="1"/>
  <c r="L67" i="1"/>
  <c r="P67" i="1"/>
  <c r="Q67" i="1" s="1"/>
  <c r="R67" i="1" s="1"/>
  <c r="D22" i="2"/>
  <c r="B7" i="2"/>
  <c r="B3" i="2"/>
  <c r="G83" i="1"/>
  <c r="L83" i="1"/>
  <c r="P83" i="1"/>
  <c r="P82" i="1"/>
  <c r="L82" i="1"/>
  <c r="G82" i="1"/>
  <c r="L6" i="1"/>
  <c r="L7" i="1"/>
  <c r="L8" i="1"/>
  <c r="L9" i="1"/>
  <c r="L10" i="1"/>
  <c r="L11" i="1"/>
  <c r="L12" i="1"/>
  <c r="L13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9" i="1"/>
  <c r="L60" i="1"/>
  <c r="L61" i="1"/>
  <c r="L62" i="1"/>
  <c r="L63" i="1"/>
  <c r="L64" i="1"/>
  <c r="L65" i="1"/>
  <c r="L66" i="1"/>
  <c r="L68" i="1"/>
  <c r="L69" i="1"/>
  <c r="L70" i="1"/>
  <c r="L72" i="1"/>
  <c r="L74" i="1"/>
  <c r="L75" i="1"/>
  <c r="L76" i="1"/>
  <c r="L77" i="1"/>
  <c r="L79" i="1"/>
  <c r="L80" i="1"/>
  <c r="L81" i="1"/>
  <c r="L84" i="1"/>
  <c r="L85" i="1"/>
  <c r="L86" i="1"/>
  <c r="L87" i="1"/>
  <c r="L88" i="1"/>
  <c r="L89" i="1"/>
  <c r="L90" i="1"/>
  <c r="L92" i="1"/>
  <c r="L93" i="1"/>
  <c r="L94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32" i="1"/>
  <c r="L133" i="1"/>
  <c r="L134" i="1"/>
  <c r="L136" i="1"/>
  <c r="L137" i="1"/>
  <c r="L138" i="1"/>
  <c r="L139" i="1"/>
  <c r="L140" i="1"/>
  <c r="L142" i="1"/>
  <c r="L143" i="1"/>
  <c r="L144" i="1"/>
  <c r="L145" i="1"/>
  <c r="L146" i="1"/>
  <c r="L147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3" i="1"/>
  <c r="L184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4" i="1"/>
  <c r="R59" i="1" l="1"/>
  <c r="R57" i="1"/>
  <c r="U57" i="1"/>
  <c r="U234" i="1" s="1"/>
  <c r="Q83" i="1"/>
  <c r="R83" i="1" s="1"/>
  <c r="Q82" i="1"/>
  <c r="R82" i="1" s="1"/>
  <c r="B6" i="2"/>
  <c r="P6" i="1"/>
  <c r="Q6" i="1" s="1"/>
  <c r="R6" i="1" s="1"/>
  <c r="P7" i="1"/>
  <c r="Q7" i="1" s="1"/>
  <c r="R7" i="1" s="1"/>
  <c r="P8" i="1"/>
  <c r="Q8" i="1" s="1"/>
  <c r="R8" i="1" s="1"/>
  <c r="P9" i="1"/>
  <c r="Q9" i="1" s="1"/>
  <c r="R9" i="1" s="1"/>
  <c r="P10" i="1"/>
  <c r="Q10" i="1" s="1"/>
  <c r="P11" i="1"/>
  <c r="Q11" i="1" s="1"/>
  <c r="P12" i="1"/>
  <c r="Q12" i="1" s="1"/>
  <c r="P13" i="1"/>
  <c r="Q13" i="1" s="1"/>
  <c r="P14" i="1"/>
  <c r="Q14" i="1" s="1"/>
  <c r="P15" i="1"/>
  <c r="Q15" i="1" s="1"/>
  <c r="R15" i="1" s="1"/>
  <c r="P16" i="1"/>
  <c r="Q16" i="1" s="1"/>
  <c r="R16" i="1" s="1"/>
  <c r="P17" i="1"/>
  <c r="Q17" i="1" s="1"/>
  <c r="R17" i="1" s="1"/>
  <c r="P18" i="1"/>
  <c r="P19" i="1"/>
  <c r="Q19" i="1" s="1"/>
  <c r="R19" i="1" s="1"/>
  <c r="P20" i="1"/>
  <c r="P21" i="1"/>
  <c r="Q21" i="1" s="1"/>
  <c r="R21" i="1" s="1"/>
  <c r="P22" i="1"/>
  <c r="Q22" i="1" s="1"/>
  <c r="R22" i="1" s="1"/>
  <c r="P23" i="1"/>
  <c r="Q23" i="1" s="1"/>
  <c r="R23" i="1" s="1"/>
  <c r="P24" i="1"/>
  <c r="P25" i="1"/>
  <c r="Q25" i="1" s="1"/>
  <c r="R25" i="1" s="1"/>
  <c r="P26" i="1"/>
  <c r="Q26" i="1" s="1"/>
  <c r="R26" i="1" s="1"/>
  <c r="P27" i="1"/>
  <c r="Q27" i="1" s="1"/>
  <c r="R27" i="1" s="1"/>
  <c r="P28" i="1"/>
  <c r="Q28" i="1" s="1"/>
  <c r="R28" i="1" s="1"/>
  <c r="P29" i="1"/>
  <c r="Q29" i="1" s="1"/>
  <c r="R29" i="1" s="1"/>
  <c r="P30" i="1"/>
  <c r="Q30" i="1" s="1"/>
  <c r="R30" i="1" s="1"/>
  <c r="P31" i="1"/>
  <c r="Q31" i="1" s="1"/>
  <c r="R31" i="1" s="1"/>
  <c r="P32" i="1"/>
  <c r="Q32" i="1" s="1"/>
  <c r="R32" i="1" s="1"/>
  <c r="P33" i="1"/>
  <c r="Q33" i="1" s="1"/>
  <c r="R33" i="1" s="1"/>
  <c r="P34" i="1"/>
  <c r="Q34" i="1" s="1"/>
  <c r="R34" i="1" s="1"/>
  <c r="P35" i="1"/>
  <c r="Q35" i="1" s="1"/>
  <c r="R35" i="1" s="1"/>
  <c r="P36" i="1"/>
  <c r="Q36" i="1" s="1"/>
  <c r="R36" i="1" s="1"/>
  <c r="P37" i="1"/>
  <c r="Q37" i="1" s="1"/>
  <c r="R37" i="1" s="1"/>
  <c r="P38" i="1"/>
  <c r="Q38" i="1" s="1"/>
  <c r="R38" i="1" s="1"/>
  <c r="P39" i="1"/>
  <c r="Q39" i="1" s="1"/>
  <c r="R39" i="1" s="1"/>
  <c r="P40" i="1"/>
  <c r="Q40" i="1" s="1"/>
  <c r="R40" i="1" s="1"/>
  <c r="P41" i="1"/>
  <c r="Q41" i="1" s="1"/>
  <c r="P42" i="1"/>
  <c r="P43" i="1"/>
  <c r="Q43" i="1" s="1"/>
  <c r="R43" i="1" s="1"/>
  <c r="P44" i="1"/>
  <c r="Q44" i="1" s="1"/>
  <c r="R44" i="1" s="1"/>
  <c r="P45" i="1"/>
  <c r="Q45" i="1" s="1"/>
  <c r="R45" i="1" s="1"/>
  <c r="P46" i="1"/>
  <c r="Q46" i="1" s="1"/>
  <c r="R46" i="1" s="1"/>
  <c r="P47" i="1"/>
  <c r="Q47" i="1" s="1"/>
  <c r="R47" i="1" s="1"/>
  <c r="P48" i="1"/>
  <c r="Q48" i="1" s="1"/>
  <c r="R48" i="1" s="1"/>
  <c r="P49" i="1"/>
  <c r="Q49" i="1" s="1"/>
  <c r="R49" i="1" s="1"/>
  <c r="P50" i="1"/>
  <c r="Q50" i="1" s="1"/>
  <c r="P51" i="1"/>
  <c r="Q51" i="1" s="1"/>
  <c r="R51" i="1" s="1"/>
  <c r="P52" i="1"/>
  <c r="Q52" i="1" s="1"/>
  <c r="P53" i="1"/>
  <c r="Q53" i="1" s="1"/>
  <c r="R53" i="1" s="1"/>
  <c r="P54" i="1"/>
  <c r="Q54" i="1" s="1"/>
  <c r="R54" i="1" s="1"/>
  <c r="P55" i="1"/>
  <c r="Q55" i="1" s="1"/>
  <c r="R55" i="1" s="1"/>
  <c r="P56" i="1"/>
  <c r="Q56" i="1" s="1"/>
  <c r="R56" i="1" s="1"/>
  <c r="P57" i="1"/>
  <c r="P59" i="1"/>
  <c r="Q59" i="1" s="1"/>
  <c r="P60" i="1"/>
  <c r="Q60" i="1" s="1"/>
  <c r="R60" i="1" s="1"/>
  <c r="P61" i="1"/>
  <c r="P62" i="1"/>
  <c r="Q62" i="1" s="1"/>
  <c r="R62" i="1" s="1"/>
  <c r="P63" i="1"/>
  <c r="Q63" i="1" s="1"/>
  <c r="R63" i="1" s="1"/>
  <c r="P64" i="1"/>
  <c r="Q64" i="1" s="1"/>
  <c r="R64" i="1" s="1"/>
  <c r="P65" i="1"/>
  <c r="Q65" i="1" s="1"/>
  <c r="P66" i="1"/>
  <c r="Q66" i="1" s="1"/>
  <c r="R66" i="1" s="1"/>
  <c r="P68" i="1"/>
  <c r="Q68" i="1" s="1"/>
  <c r="R68" i="1" s="1"/>
  <c r="P69" i="1"/>
  <c r="Q69" i="1" s="1"/>
  <c r="R69" i="1" s="1"/>
  <c r="P70" i="1"/>
  <c r="Q70" i="1" s="1"/>
  <c r="P72" i="1"/>
  <c r="Q72" i="1" s="1"/>
  <c r="R72" i="1" s="1"/>
  <c r="P74" i="1"/>
  <c r="Q74" i="1" s="1"/>
  <c r="R74" i="1" s="1"/>
  <c r="P75" i="1"/>
  <c r="Q75" i="1" s="1"/>
  <c r="R75" i="1" s="1"/>
  <c r="P76" i="1"/>
  <c r="Q76" i="1" s="1"/>
  <c r="R76" i="1" s="1"/>
  <c r="P77" i="1"/>
  <c r="Q77" i="1" s="1"/>
  <c r="R77" i="1" s="1"/>
  <c r="P79" i="1"/>
  <c r="Q79" i="1" s="1"/>
  <c r="R79" i="1" s="1"/>
  <c r="P80" i="1"/>
  <c r="Q80" i="1" s="1"/>
  <c r="R80" i="1" s="1"/>
  <c r="P81" i="1"/>
  <c r="Q81" i="1" s="1"/>
  <c r="P84" i="1"/>
  <c r="Q84" i="1" s="1"/>
  <c r="R84" i="1" s="1"/>
  <c r="P85" i="1"/>
  <c r="Q85" i="1" s="1"/>
  <c r="R85" i="1" s="1"/>
  <c r="P86" i="1"/>
  <c r="Q86" i="1" s="1"/>
  <c r="R86" i="1" s="1"/>
  <c r="P87" i="1"/>
  <c r="Q87" i="1" s="1"/>
  <c r="P88" i="1"/>
  <c r="Q88" i="1" s="1"/>
  <c r="P89" i="1"/>
  <c r="Q89" i="1" s="1"/>
  <c r="P90" i="1"/>
  <c r="Q90" i="1" s="1"/>
  <c r="P92" i="1"/>
  <c r="Q92" i="1" s="1"/>
  <c r="P93" i="1"/>
  <c r="Q93" i="1" s="1"/>
  <c r="R93" i="1" s="1"/>
  <c r="P94" i="1"/>
  <c r="Q94" i="1" s="1"/>
  <c r="R94" i="1" s="1"/>
  <c r="P96" i="1"/>
  <c r="P97" i="1"/>
  <c r="Q97" i="1" s="1"/>
  <c r="P98" i="1"/>
  <c r="Q98" i="1" s="1"/>
  <c r="R98" i="1" s="1"/>
  <c r="P99" i="1"/>
  <c r="P100" i="1"/>
  <c r="Q100" i="1" s="1"/>
  <c r="R100" i="1" s="1"/>
  <c r="P101" i="1"/>
  <c r="Q101" i="1" s="1"/>
  <c r="P102" i="1"/>
  <c r="Q102" i="1" s="1"/>
  <c r="P103" i="1"/>
  <c r="Q103" i="1" s="1"/>
  <c r="P104" i="1"/>
  <c r="Q104" i="1" s="1"/>
  <c r="R104" i="1" s="1"/>
  <c r="P105" i="1"/>
  <c r="Q105" i="1" s="1"/>
  <c r="R105" i="1" s="1"/>
  <c r="P106" i="1"/>
  <c r="Q106" i="1" s="1"/>
  <c r="P107" i="1"/>
  <c r="Q107" i="1" s="1"/>
  <c r="P108" i="1"/>
  <c r="Q108" i="1" s="1"/>
  <c r="R108" i="1" s="1"/>
  <c r="P109" i="1"/>
  <c r="Q109" i="1" s="1"/>
  <c r="R109" i="1" s="1"/>
  <c r="P110" i="1"/>
  <c r="Q110" i="1" s="1"/>
  <c r="R110" i="1" s="1"/>
  <c r="P111" i="1"/>
  <c r="Q111" i="1" s="1"/>
  <c r="P112" i="1"/>
  <c r="Q112" i="1" s="1"/>
  <c r="R112" i="1" s="1"/>
  <c r="P113" i="1"/>
  <c r="Q113" i="1" s="1"/>
  <c r="R113" i="1" s="1"/>
  <c r="P114" i="1"/>
  <c r="Q114" i="1" s="1"/>
  <c r="R114" i="1" s="1"/>
  <c r="P115" i="1"/>
  <c r="Q115" i="1" s="1"/>
  <c r="P117" i="1"/>
  <c r="Q117" i="1" s="1"/>
  <c r="R117" i="1" s="1"/>
  <c r="P118" i="1"/>
  <c r="Q118" i="1" s="1"/>
  <c r="R118" i="1" s="1"/>
  <c r="P119" i="1"/>
  <c r="Q119" i="1" s="1"/>
  <c r="R119" i="1" s="1"/>
  <c r="P120" i="1"/>
  <c r="Q120" i="1" s="1"/>
  <c r="R120" i="1" s="1"/>
  <c r="P121" i="1"/>
  <c r="Q121" i="1" s="1"/>
  <c r="R121" i="1" s="1"/>
  <c r="P122" i="1"/>
  <c r="Q122" i="1" s="1"/>
  <c r="R122" i="1" s="1"/>
  <c r="P123" i="1"/>
  <c r="Q123" i="1" s="1"/>
  <c r="P124" i="1"/>
  <c r="P125" i="1"/>
  <c r="Q125" i="1" s="1"/>
  <c r="R125" i="1" s="1"/>
  <c r="P126" i="1"/>
  <c r="Q126" i="1" s="1"/>
  <c r="P127" i="1"/>
  <c r="Q127" i="1" s="1"/>
  <c r="R127" i="1" s="1"/>
  <c r="P128" i="1"/>
  <c r="Q128" i="1" s="1"/>
  <c r="R128" i="1" s="1"/>
  <c r="P132" i="1"/>
  <c r="Q132" i="1" s="1"/>
  <c r="R132" i="1" s="1"/>
  <c r="P133" i="1"/>
  <c r="Q133" i="1" s="1"/>
  <c r="R133" i="1" s="1"/>
  <c r="P134" i="1"/>
  <c r="Q134" i="1" s="1"/>
  <c r="P136" i="1"/>
  <c r="Q136" i="1" s="1"/>
  <c r="P137" i="1"/>
  <c r="Q137" i="1" s="1"/>
  <c r="R137" i="1" s="1"/>
  <c r="P138" i="1"/>
  <c r="Q138" i="1" s="1"/>
  <c r="R138" i="1" s="1"/>
  <c r="P139" i="1"/>
  <c r="Q139" i="1" s="1"/>
  <c r="R139" i="1" s="1"/>
  <c r="P140" i="1"/>
  <c r="Q140" i="1" s="1"/>
  <c r="R140" i="1" s="1"/>
  <c r="P142" i="1"/>
  <c r="Q142" i="1" s="1"/>
  <c r="R142" i="1" s="1"/>
  <c r="P143" i="1"/>
  <c r="Q143" i="1" s="1"/>
  <c r="R143" i="1" s="1"/>
  <c r="P144" i="1"/>
  <c r="Q144" i="1" s="1"/>
  <c r="R144" i="1" s="1"/>
  <c r="P145" i="1"/>
  <c r="P146" i="1"/>
  <c r="Q146" i="1" s="1"/>
  <c r="R146" i="1" s="1"/>
  <c r="P147" i="1"/>
  <c r="Q147" i="1" s="1"/>
  <c r="R147" i="1" s="1"/>
  <c r="P149" i="1"/>
  <c r="Q149" i="1" s="1"/>
  <c r="R149" i="1" s="1"/>
  <c r="P150" i="1"/>
  <c r="Q150" i="1" s="1"/>
  <c r="P151" i="1"/>
  <c r="Q151" i="1" s="1"/>
  <c r="R151" i="1" s="1"/>
  <c r="P152" i="1"/>
  <c r="Q152" i="1" s="1"/>
  <c r="R152" i="1" s="1"/>
  <c r="P153" i="1"/>
  <c r="P154" i="1"/>
  <c r="Q154" i="1" s="1"/>
  <c r="R154" i="1" s="1"/>
  <c r="P155" i="1"/>
  <c r="Q155" i="1" s="1"/>
  <c r="R155" i="1" s="1"/>
  <c r="P156" i="1"/>
  <c r="Q156" i="1" s="1"/>
  <c r="R156" i="1" s="1"/>
  <c r="P157" i="1"/>
  <c r="Q157" i="1" s="1"/>
  <c r="P158" i="1"/>
  <c r="Q158" i="1" s="1"/>
  <c r="R158" i="1" s="1"/>
  <c r="P159" i="1"/>
  <c r="Q159" i="1" s="1"/>
  <c r="R159" i="1" s="1"/>
  <c r="P160" i="1"/>
  <c r="Q160" i="1" s="1"/>
  <c r="R160" i="1" s="1"/>
  <c r="P161" i="1"/>
  <c r="Q161" i="1" s="1"/>
  <c r="R161" i="1" s="1"/>
  <c r="P162" i="1"/>
  <c r="Q162" i="1" s="1"/>
  <c r="R162" i="1" s="1"/>
  <c r="P163" i="1"/>
  <c r="Q163" i="1" s="1"/>
  <c r="R163" i="1" s="1"/>
  <c r="P164" i="1"/>
  <c r="Q164" i="1" s="1"/>
  <c r="R164" i="1" s="1"/>
  <c r="P165" i="1"/>
  <c r="Q165" i="1" s="1"/>
  <c r="R165" i="1" s="1"/>
  <c r="P166" i="1"/>
  <c r="Q166" i="1" s="1"/>
  <c r="R166" i="1" s="1"/>
  <c r="P167" i="1"/>
  <c r="Q167" i="1" s="1"/>
  <c r="R167" i="1" s="1"/>
  <c r="P168" i="1"/>
  <c r="Q168" i="1" s="1"/>
  <c r="R168" i="1" s="1"/>
  <c r="P169" i="1"/>
  <c r="P170" i="1"/>
  <c r="Q170" i="1" s="1"/>
  <c r="P171" i="1"/>
  <c r="Q171" i="1" s="1"/>
  <c r="R171" i="1" s="1"/>
  <c r="P172" i="1"/>
  <c r="Q172" i="1" s="1"/>
  <c r="R172" i="1" s="1"/>
  <c r="P173" i="1"/>
  <c r="Q173" i="1" s="1"/>
  <c r="R173" i="1" s="1"/>
  <c r="P174" i="1"/>
  <c r="Q174" i="1" s="1"/>
  <c r="R174" i="1" s="1"/>
  <c r="P175" i="1"/>
  <c r="Q175" i="1" s="1"/>
  <c r="R175" i="1" s="1"/>
  <c r="P176" i="1"/>
  <c r="Q176" i="1" s="1"/>
  <c r="R176" i="1" s="1"/>
  <c r="P177" i="1"/>
  <c r="Q177" i="1" s="1"/>
  <c r="R177" i="1" s="1"/>
  <c r="P178" i="1"/>
  <c r="Q178" i="1" s="1"/>
  <c r="R178" i="1" s="1"/>
  <c r="P179" i="1"/>
  <c r="Q179" i="1" s="1"/>
  <c r="R179" i="1" s="1"/>
  <c r="P180" i="1"/>
  <c r="Q180" i="1" s="1"/>
  <c r="R180" i="1" s="1"/>
  <c r="P183" i="1"/>
  <c r="Q183" i="1" s="1"/>
  <c r="R183" i="1" s="1"/>
  <c r="P184" i="1"/>
  <c r="Q184" i="1" s="1"/>
  <c r="R184" i="1" s="1"/>
  <c r="P186" i="1"/>
  <c r="Q186" i="1" s="1"/>
  <c r="R186" i="1" s="1"/>
  <c r="P187" i="1"/>
  <c r="Q187" i="1" s="1"/>
  <c r="R187" i="1" s="1"/>
  <c r="P188" i="1"/>
  <c r="Q188" i="1" s="1"/>
  <c r="R188" i="1" s="1"/>
  <c r="P189" i="1"/>
  <c r="Q189" i="1" s="1"/>
  <c r="R189" i="1" s="1"/>
  <c r="P190" i="1"/>
  <c r="Q190" i="1" s="1"/>
  <c r="R190" i="1" s="1"/>
  <c r="P191" i="1"/>
  <c r="Q191" i="1" s="1"/>
  <c r="R191" i="1" s="1"/>
  <c r="P192" i="1"/>
  <c r="Q192" i="1" s="1"/>
  <c r="P193" i="1"/>
  <c r="Q193" i="1" s="1"/>
  <c r="R193" i="1" s="1"/>
  <c r="P194" i="1"/>
  <c r="Q194" i="1" s="1"/>
  <c r="P195" i="1"/>
  <c r="Q195" i="1" s="1"/>
  <c r="R195" i="1" s="1"/>
  <c r="P196" i="1"/>
  <c r="Q196" i="1" s="1"/>
  <c r="R196" i="1" s="1"/>
  <c r="P197" i="1"/>
  <c r="Q197" i="1" s="1"/>
  <c r="P198" i="1"/>
  <c r="Q198" i="1" s="1"/>
  <c r="R198" i="1" s="1"/>
  <c r="P199" i="1"/>
  <c r="Q199" i="1" s="1"/>
  <c r="R199" i="1" s="1"/>
  <c r="P200" i="1"/>
  <c r="Q200" i="1" s="1"/>
  <c r="R200" i="1" s="1"/>
  <c r="P201" i="1"/>
  <c r="Q201" i="1" s="1"/>
  <c r="P202" i="1"/>
  <c r="Q202" i="1" s="1"/>
  <c r="R202" i="1" s="1"/>
  <c r="P203" i="1"/>
  <c r="Q203" i="1" s="1"/>
  <c r="R203" i="1" s="1"/>
  <c r="P205" i="1"/>
  <c r="Q205" i="1" s="1"/>
  <c r="R205" i="1" s="1"/>
  <c r="P206" i="1"/>
  <c r="Q206" i="1" s="1"/>
  <c r="R206" i="1" s="1"/>
  <c r="P207" i="1"/>
  <c r="Q207" i="1" s="1"/>
  <c r="P208" i="1"/>
  <c r="Q208" i="1" s="1"/>
  <c r="R208" i="1" s="1"/>
  <c r="P209" i="1"/>
  <c r="P210" i="1"/>
  <c r="Q210" i="1" s="1"/>
  <c r="R210" i="1" s="1"/>
  <c r="P211" i="1"/>
  <c r="Q211" i="1" s="1"/>
  <c r="R211" i="1" s="1"/>
  <c r="P212" i="1"/>
  <c r="Q212" i="1" s="1"/>
  <c r="R212" i="1" s="1"/>
  <c r="P213" i="1"/>
  <c r="Q213" i="1" s="1"/>
  <c r="R213" i="1" s="1"/>
  <c r="P214" i="1"/>
  <c r="Q214" i="1" s="1"/>
  <c r="R214" i="1" s="1"/>
  <c r="P215" i="1"/>
  <c r="Q215" i="1" s="1"/>
  <c r="P216" i="1"/>
  <c r="P217" i="1"/>
  <c r="Q217" i="1" s="1"/>
  <c r="R217" i="1" s="1"/>
  <c r="P218" i="1"/>
  <c r="Q218" i="1" s="1"/>
  <c r="P221" i="1"/>
  <c r="Q221" i="1" s="1"/>
  <c r="R221" i="1" s="1"/>
  <c r="P222" i="1"/>
  <c r="Q222" i="1" s="1"/>
  <c r="P223" i="1"/>
  <c r="Q223" i="1" s="1"/>
  <c r="R223" i="1" s="1"/>
  <c r="P224" i="1"/>
  <c r="Q224" i="1" s="1"/>
  <c r="R224" i="1" s="1"/>
  <c r="P225" i="1"/>
  <c r="Q225" i="1" s="1"/>
  <c r="R225" i="1" s="1"/>
  <c r="P226" i="1"/>
  <c r="P227" i="1"/>
  <c r="Q227" i="1" s="1"/>
  <c r="R227" i="1" s="1"/>
  <c r="P228" i="1"/>
  <c r="Q228" i="1" s="1"/>
  <c r="R228" i="1" s="1"/>
  <c r="P229" i="1"/>
  <c r="Q229" i="1" s="1"/>
  <c r="P230" i="1"/>
  <c r="Q230" i="1" s="1"/>
  <c r="R230" i="1" s="1"/>
  <c r="P231" i="1"/>
  <c r="Q231" i="1" s="1"/>
  <c r="R231" i="1" s="1"/>
  <c r="P232" i="1"/>
  <c r="Q232" i="1" s="1"/>
  <c r="R232" i="1" s="1"/>
  <c r="P233" i="1"/>
  <c r="Q233" i="1" s="1"/>
  <c r="R233" i="1" s="1"/>
  <c r="P4" i="1"/>
  <c r="Q4" i="1" s="1"/>
  <c r="K234" i="1"/>
  <c r="C7" i="2" s="1"/>
  <c r="H234" i="1"/>
  <c r="F234" i="1"/>
  <c r="E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18" i="1"/>
  <c r="G217" i="1"/>
  <c r="G216" i="1"/>
  <c r="G215" i="1"/>
  <c r="G214" i="1"/>
  <c r="G213" i="1"/>
  <c r="G212" i="1"/>
  <c r="G211" i="1"/>
  <c r="G210" i="1"/>
  <c r="G208" i="1"/>
  <c r="G207" i="1"/>
  <c r="G206" i="1"/>
  <c r="G205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4" i="1"/>
  <c r="G183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7" i="1"/>
  <c r="G146" i="1"/>
  <c r="G145" i="1"/>
  <c r="G144" i="1"/>
  <c r="G143" i="1"/>
  <c r="G142" i="1"/>
  <c r="G140" i="1"/>
  <c r="G139" i="1"/>
  <c r="G138" i="1"/>
  <c r="G137" i="1"/>
  <c r="G136" i="1"/>
  <c r="G134" i="1"/>
  <c r="G133" i="1"/>
  <c r="G132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8" i="1"/>
  <c r="G97" i="1"/>
  <c r="G96" i="1"/>
  <c r="G94" i="1"/>
  <c r="G93" i="1"/>
  <c r="G92" i="1"/>
  <c r="G90" i="1"/>
  <c r="G89" i="1"/>
  <c r="G88" i="1"/>
  <c r="G87" i="1"/>
  <c r="G86" i="1"/>
  <c r="G85" i="1"/>
  <c r="G84" i="1"/>
  <c r="G81" i="1"/>
  <c r="G80" i="1"/>
  <c r="G79" i="1"/>
  <c r="G77" i="1"/>
  <c r="G76" i="1"/>
  <c r="G75" i="1"/>
  <c r="G74" i="1"/>
  <c r="G72" i="1"/>
  <c r="G70" i="1"/>
  <c r="G69" i="1"/>
  <c r="G68" i="1"/>
  <c r="G66" i="1"/>
  <c r="G65" i="1"/>
  <c r="G64" i="1"/>
  <c r="G63" i="1"/>
  <c r="G62" i="1"/>
  <c r="G61" i="1"/>
  <c r="G60" i="1"/>
  <c r="G59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1" i="1"/>
  <c r="G10" i="1"/>
  <c r="G9" i="1"/>
  <c r="G8" i="1"/>
  <c r="G7" i="1"/>
  <c r="G6" i="1"/>
  <c r="G4" i="1"/>
  <c r="Q24" i="1" l="1"/>
  <c r="R24" i="1" s="1"/>
  <c r="V24" i="1"/>
  <c r="Q57" i="1"/>
  <c r="Q99" i="1"/>
  <c r="R99" i="1" s="1"/>
  <c r="Q42" i="1"/>
  <c r="R42" i="1" s="1"/>
  <c r="Q124" i="1"/>
  <c r="R124" i="1" s="1"/>
  <c r="W124" i="1"/>
  <c r="Q209" i="1"/>
  <c r="R209" i="1" s="1"/>
  <c r="W209" i="1"/>
  <c r="Q169" i="1"/>
  <c r="R169" i="1" s="1"/>
  <c r="W169" i="1"/>
  <c r="Q153" i="1"/>
  <c r="R153" i="1" s="1"/>
  <c r="W153" i="1"/>
  <c r="Q145" i="1"/>
  <c r="R145" i="1" s="1"/>
  <c r="W145" i="1"/>
  <c r="Q18" i="1"/>
  <c r="R18" i="1" s="1"/>
  <c r="W18" i="1"/>
  <c r="Q226" i="1"/>
  <c r="R226" i="1" s="1"/>
  <c r="W226" i="1"/>
  <c r="Q216" i="1"/>
  <c r="R216" i="1" s="1"/>
  <c r="W216" i="1"/>
  <c r="Q61" i="1"/>
  <c r="R61" i="1" s="1"/>
  <c r="W61" i="1"/>
  <c r="Q20" i="1"/>
  <c r="W20" i="1"/>
  <c r="Q96" i="1"/>
  <c r="R96" i="1" s="1"/>
  <c r="W96" i="1"/>
  <c r="G234" i="1"/>
  <c r="C4" i="2" s="1"/>
  <c r="L234" i="1"/>
  <c r="C12" i="4"/>
  <c r="B12" i="4"/>
  <c r="C6" i="2" l="1"/>
  <c r="L237" i="1"/>
  <c r="H18" i="2"/>
  <c r="H20" i="2"/>
  <c r="V234" i="1"/>
  <c r="W234" i="1"/>
  <c r="B4" i="2"/>
  <c r="B11" i="2" l="1"/>
  <c r="B5" i="3"/>
  <c r="B3" i="3"/>
  <c r="B4" i="3"/>
  <c r="A26" i="2"/>
  <c r="F16" i="2" l="1"/>
  <c r="C22" i="2"/>
  <c r="B22" i="2"/>
  <c r="B236" i="1"/>
  <c r="B12" i="2"/>
  <c r="B13" i="2" s="1"/>
  <c r="B9" i="2"/>
  <c r="B28" i="2" s="1"/>
  <c r="B8" i="2"/>
  <c r="O234" i="1"/>
  <c r="D234" i="1"/>
  <c r="J234" i="1"/>
  <c r="M234" i="1"/>
  <c r="C9" i="2" l="1"/>
  <c r="J237" i="1"/>
  <c r="C8" i="2"/>
  <c r="C26" i="2" s="1"/>
  <c r="C27" i="2" s="1"/>
  <c r="C13" i="4"/>
  <c r="C3" i="2"/>
  <c r="E4" i="2" s="1"/>
  <c r="F4" i="2" s="1"/>
  <c r="B13" i="4"/>
  <c r="C12" i="2"/>
  <c r="C28" i="2"/>
  <c r="P234" i="1"/>
  <c r="U236" i="1" s="1"/>
  <c r="D6" i="2" l="1"/>
  <c r="E8" i="2"/>
  <c r="F8" i="2" s="1"/>
  <c r="E9" i="2"/>
  <c r="D8" i="2"/>
  <c r="F9" i="2"/>
  <c r="D7" i="2"/>
  <c r="C11" i="2"/>
  <c r="E28" i="2"/>
  <c r="F28" i="2" s="1"/>
  <c r="C32" i="2"/>
  <c r="Q234" i="1"/>
  <c r="C7" i="4" l="1"/>
  <c r="C5" i="4"/>
  <c r="B5" i="4"/>
  <c r="E5" i="4"/>
  <c r="C8" i="4"/>
  <c r="E7" i="4"/>
  <c r="B4" i="4"/>
  <c r="B8" i="4"/>
  <c r="B6" i="4"/>
  <c r="B7" i="4"/>
  <c r="C6" i="4"/>
  <c r="C4" i="4"/>
  <c r="E21" i="2"/>
  <c r="F21" i="2"/>
  <c r="E17" i="2"/>
  <c r="C13" i="2"/>
  <c r="D11" i="2" s="1"/>
  <c r="E32" i="2"/>
  <c r="F32" i="2" s="1"/>
  <c r="E18" i="2"/>
  <c r="E20" i="2"/>
  <c r="F19" i="2"/>
  <c r="E19" i="2"/>
  <c r="F20" i="2"/>
  <c r="F18" i="2"/>
  <c r="F17" i="2"/>
  <c r="C9" i="4" l="1"/>
  <c r="D6" i="4" s="1"/>
  <c r="B9" i="4"/>
  <c r="D12" i="4" s="1"/>
  <c r="D13" i="2"/>
  <c r="E13" i="2"/>
  <c r="F13" i="2" s="1"/>
  <c r="D12" i="2"/>
  <c r="E22" i="2"/>
  <c r="D23" i="2" s="1"/>
  <c r="F22" i="2"/>
  <c r="G19" i="2" l="1"/>
  <c r="D13" i="4"/>
  <c r="D8" i="4"/>
  <c r="D4" i="4"/>
  <c r="D5" i="4"/>
  <c r="D7" i="4"/>
  <c r="G18" i="2"/>
  <c r="G20" i="2"/>
  <c r="G21" i="2"/>
  <c r="G17" i="2"/>
  <c r="E23" i="2"/>
  <c r="D9" i="4" l="1"/>
  <c r="G22" i="2"/>
</calcChain>
</file>

<file path=xl/comments1.xml><?xml version="1.0" encoding="utf-8"?>
<comments xmlns="http://schemas.openxmlformats.org/spreadsheetml/2006/main">
  <authors>
    <author>Dawn Jacobson</author>
  </authors>
  <commentList>
    <comment ref="H39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Cheryl got the pledge after I was done with this estimate so used my estimate</t>
        </r>
      </text>
    </comment>
  </commentList>
</comments>
</file>

<file path=xl/sharedStrings.xml><?xml version="1.0" encoding="utf-8"?>
<sst xmlns="http://schemas.openxmlformats.org/spreadsheetml/2006/main" count="1202" uniqueCount="688">
  <si>
    <t>Last</t>
  </si>
  <si>
    <t>First</t>
  </si>
  <si>
    <t>Giving Units</t>
  </si>
  <si>
    <t>2021 Giving</t>
  </si>
  <si>
    <t>Pledge</t>
  </si>
  <si>
    <t>Sept YTD</t>
  </si>
  <si>
    <t>$</t>
  </si>
  <si>
    <t>Alton</t>
  </si>
  <si>
    <t>Del &amp; Shirley</t>
  </si>
  <si>
    <t>Timing*</t>
  </si>
  <si>
    <t>S/I/D/N**</t>
  </si>
  <si>
    <t>Anderson</t>
  </si>
  <si>
    <t>Gary &amp; Kathy</t>
  </si>
  <si>
    <t>Ashton</t>
  </si>
  <si>
    <t>Backmann</t>
  </si>
  <si>
    <t>Dave</t>
  </si>
  <si>
    <t>Bartel</t>
  </si>
  <si>
    <t>Brad and Ann</t>
  </si>
  <si>
    <t>Baumgardt</t>
  </si>
  <si>
    <t>Tony &amp; Tanya</t>
  </si>
  <si>
    <t>Baylor</t>
  </si>
  <si>
    <t>Carol</t>
  </si>
  <si>
    <t>Belanger</t>
  </si>
  <si>
    <t>Shelly</t>
  </si>
  <si>
    <t>Bertlesen</t>
  </si>
  <si>
    <t>Sue</t>
  </si>
  <si>
    <t>Kari</t>
  </si>
  <si>
    <t>Bidstrup</t>
  </si>
  <si>
    <t>Betty</t>
  </si>
  <si>
    <t>Blickle</t>
  </si>
  <si>
    <t>John &amp; Barb</t>
  </si>
  <si>
    <t>Karla</t>
  </si>
  <si>
    <t>Bonnett</t>
  </si>
  <si>
    <t>Wally &amp; Lyn</t>
  </si>
  <si>
    <t>Borgardt</t>
  </si>
  <si>
    <t>Diane</t>
  </si>
  <si>
    <t>Veryl</t>
  </si>
  <si>
    <t>Bunker</t>
  </si>
  <si>
    <t>Tom &amp; Carol</t>
  </si>
  <si>
    <t>Campbell</t>
  </si>
  <si>
    <t>A</t>
  </si>
  <si>
    <t>TOTALS</t>
  </si>
  <si>
    <t>Maryjane</t>
  </si>
  <si>
    <t>W</t>
  </si>
  <si>
    <t>M</t>
  </si>
  <si>
    <t>*    A=Annual, M=Monthly, W=Weekly, B=Bi-Weekly, S=Semi Annual</t>
  </si>
  <si>
    <t>B</t>
  </si>
  <si>
    <t>Estimate</t>
  </si>
  <si>
    <t># of Giving Units</t>
  </si>
  <si>
    <t xml:space="preserve">          Pledges</t>
  </si>
  <si>
    <t>2023:</t>
  </si>
  <si>
    <t xml:space="preserve">          Sept YTD</t>
  </si>
  <si>
    <t>Total 2023</t>
  </si>
  <si>
    <t xml:space="preserve">          Estimate (No Pledge)</t>
  </si>
  <si>
    <t>% chg</t>
  </si>
  <si>
    <t>$ chg</t>
  </si>
  <si>
    <t>% of Total</t>
  </si>
  <si>
    <t>Did not pledge in 2022</t>
  </si>
  <si>
    <t>Same pledge as in 2022</t>
  </si>
  <si>
    <t>Total</t>
  </si>
  <si>
    <t>?</t>
  </si>
  <si>
    <t>Same pledge</t>
  </si>
  <si>
    <t>Increased pledge</t>
  </si>
  <si>
    <t>New pledge</t>
  </si>
  <si>
    <t>Decrease pledge</t>
  </si>
  <si>
    <t>Andreasen</t>
  </si>
  <si>
    <t>Kathy</t>
  </si>
  <si>
    <t>Barke</t>
  </si>
  <si>
    <t>Dave &amp; Vicki</t>
  </si>
  <si>
    <t>Kim &amp; Joan</t>
  </si>
  <si>
    <t>Blagec</t>
  </si>
  <si>
    <t>Bliss</t>
  </si>
  <si>
    <t>Jason &amp; DeAnn</t>
  </si>
  <si>
    <t>Christiansen</t>
  </si>
  <si>
    <t>Peggy</t>
  </si>
  <si>
    <t>Clausen</t>
  </si>
  <si>
    <t>Sandra</t>
  </si>
  <si>
    <t>Cline</t>
  </si>
  <si>
    <t>John &amp; Christy</t>
  </si>
  <si>
    <t>Curran</t>
  </si>
  <si>
    <t>Floyd and Lyn</t>
  </si>
  <si>
    <t>Nicci</t>
  </si>
  <si>
    <t>David</t>
  </si>
  <si>
    <t>Bill &amp; Judith</t>
  </si>
  <si>
    <t>DeCamp</t>
  </si>
  <si>
    <t>Jim &amp; Myrna</t>
  </si>
  <si>
    <t>DenHartigh</t>
  </si>
  <si>
    <t>Doris</t>
  </si>
  <si>
    <t>DeVito</t>
  </si>
  <si>
    <t>Cindy</t>
  </si>
  <si>
    <t>Doe</t>
  </si>
  <si>
    <t>Jamie &amp; Lynn</t>
  </si>
  <si>
    <t>Douglas</t>
  </si>
  <si>
    <t>Helen</t>
  </si>
  <si>
    <t>Dues</t>
  </si>
  <si>
    <t>Steve &amp; Connie</t>
  </si>
  <si>
    <t>Enloe</t>
  </si>
  <si>
    <t>Audrey</t>
  </si>
  <si>
    <t>Erbe</t>
  </si>
  <si>
    <t>Erickson</t>
  </si>
  <si>
    <t>Carl</t>
  </si>
  <si>
    <t>Fehl</t>
  </si>
  <si>
    <t>Fritz</t>
  </si>
  <si>
    <t>Kristin</t>
  </si>
  <si>
    <t>Gardner</t>
  </si>
  <si>
    <t>Eric &amp; Connie</t>
  </si>
  <si>
    <t>Gavigan</t>
  </si>
  <si>
    <t>Georgeson</t>
  </si>
  <si>
    <t>Jim &amp; Sandy</t>
  </si>
  <si>
    <t>Gilbertson</t>
  </si>
  <si>
    <t>Jan</t>
  </si>
  <si>
    <t>Gissell</t>
  </si>
  <si>
    <t>Bill &amp; Linda</t>
  </si>
  <si>
    <t>Grabanski</t>
  </si>
  <si>
    <t>Ed &amp; Kathy</t>
  </si>
  <si>
    <t>Gunderson</t>
  </si>
  <si>
    <t>Hauch</t>
  </si>
  <si>
    <t>Tom &amp; Mary</t>
  </si>
  <si>
    <t>Hewitt</t>
  </si>
  <si>
    <t>John</t>
  </si>
  <si>
    <t>Hjortness</t>
  </si>
  <si>
    <t>Marcella</t>
  </si>
  <si>
    <t>Hoffmann</t>
  </si>
  <si>
    <t>Ruth</t>
  </si>
  <si>
    <t>Holm</t>
  </si>
  <si>
    <t>Harold &amp; Grace</t>
  </si>
  <si>
    <t>Holz</t>
  </si>
  <si>
    <t>Huth</t>
  </si>
  <si>
    <t>Duane &amp; Barb</t>
  </si>
  <si>
    <t>Israel</t>
  </si>
  <si>
    <t>John &amp; Emily</t>
  </si>
  <si>
    <t>Jacobson</t>
  </si>
  <si>
    <t>Fred &amp; Lynette</t>
  </si>
  <si>
    <t>Steve &amp; Dawn</t>
  </si>
  <si>
    <t>Jaskulske</t>
  </si>
  <si>
    <t>Valerie</t>
  </si>
  <si>
    <t>Keszler</t>
  </si>
  <si>
    <t>Heather</t>
  </si>
  <si>
    <t>Kiemen</t>
  </si>
  <si>
    <t>Joe &amp; Marilyn</t>
  </si>
  <si>
    <t>Kirt</t>
  </si>
  <si>
    <t>Jacki</t>
  </si>
  <si>
    <t>Kissner</t>
  </si>
  <si>
    <t>Robert &amp; Rita</t>
  </si>
  <si>
    <t>Klemick</t>
  </si>
  <si>
    <t>Kevin &amp; Jennifer</t>
  </si>
  <si>
    <t>Klopp</t>
  </si>
  <si>
    <t>Don &amp; Marge</t>
  </si>
  <si>
    <t>Knudson</t>
  </si>
  <si>
    <t>Roger</t>
  </si>
  <si>
    <t>Koechell</t>
  </si>
  <si>
    <t>Kramer</t>
  </si>
  <si>
    <t>Shirley</t>
  </si>
  <si>
    <t>Kroll</t>
  </si>
  <si>
    <t>Bill &amp; Nancy</t>
  </si>
  <si>
    <t>Krueger</t>
  </si>
  <si>
    <t>Leah</t>
  </si>
  <si>
    <t>Levonian</t>
  </si>
  <si>
    <t>Joyce</t>
  </si>
  <si>
    <t>Mako</t>
  </si>
  <si>
    <t>Louie &amp; Karen</t>
  </si>
  <si>
    <t>Mantey</t>
  </si>
  <si>
    <t>John &amp; Mary Ann</t>
  </si>
  <si>
    <t>Matthews</t>
  </si>
  <si>
    <t>McKenna</t>
  </si>
  <si>
    <t>Colin &amp; Julie</t>
  </si>
  <si>
    <t>Miller, Sr.</t>
  </si>
  <si>
    <t>Paul &amp; Rita</t>
  </si>
  <si>
    <t>Miller</t>
  </si>
  <si>
    <t>Mohrbacher</t>
  </si>
  <si>
    <t>LeRoy</t>
  </si>
  <si>
    <t>Melissa</t>
  </si>
  <si>
    <t>Molina</t>
  </si>
  <si>
    <t>Sharon</t>
  </si>
  <si>
    <t>Mortensen</t>
  </si>
  <si>
    <t>Bill &amp; Carmen</t>
  </si>
  <si>
    <t>Nance</t>
  </si>
  <si>
    <t>Nelson</t>
  </si>
  <si>
    <t>Virginia</t>
  </si>
  <si>
    <t>Nielsen</t>
  </si>
  <si>
    <t>Nottleson</t>
  </si>
  <si>
    <t>Neal &amp; Gerry</t>
  </si>
  <si>
    <t>Oesau</t>
  </si>
  <si>
    <t>Scott</t>
  </si>
  <si>
    <t>Olsen</t>
  </si>
  <si>
    <t>Pahl</t>
  </si>
  <si>
    <t>Jeff &amp; Karen</t>
  </si>
  <si>
    <t>Payan</t>
  </si>
  <si>
    <t>Debra</t>
  </si>
  <si>
    <t>Pederson</t>
  </si>
  <si>
    <t>Dan &amp; Connie</t>
  </si>
  <si>
    <t>Petrach</t>
  </si>
  <si>
    <t>Chuck &amp; Rachel</t>
  </si>
  <si>
    <t>Pfeffer</t>
  </si>
  <si>
    <t>Julie</t>
  </si>
  <si>
    <t>Rivest</t>
  </si>
  <si>
    <t>Bonnie</t>
  </si>
  <si>
    <t>Robe</t>
  </si>
  <si>
    <t>Rosemann</t>
  </si>
  <si>
    <t>Kristopher &amp; Morgan</t>
  </si>
  <si>
    <t>Scheller</t>
  </si>
  <si>
    <t>Roy</t>
  </si>
  <si>
    <t>Sell</t>
  </si>
  <si>
    <t>Lisa</t>
  </si>
  <si>
    <t>Sheriff</t>
  </si>
  <si>
    <t>Thomas &amp; Kathy</t>
  </si>
  <si>
    <t>Skaar</t>
  </si>
  <si>
    <t>Scott &amp; Jennifer</t>
  </si>
  <si>
    <t>Sorensen</t>
  </si>
  <si>
    <t>Ron</t>
  </si>
  <si>
    <t>Studrawa</t>
  </si>
  <si>
    <t>Audrey &amp; Frank</t>
  </si>
  <si>
    <t>Suiter</t>
  </si>
  <si>
    <t>Ron &amp; Betty</t>
  </si>
  <si>
    <t>Swiden</t>
  </si>
  <si>
    <t>Tague</t>
  </si>
  <si>
    <t>Pam</t>
  </si>
  <si>
    <t>Trabert</t>
  </si>
  <si>
    <t>Debbie</t>
  </si>
  <si>
    <t>Tuttle</t>
  </si>
  <si>
    <t>Barb</t>
  </si>
  <si>
    <t>Vacek</t>
  </si>
  <si>
    <t>Calvin &amp; Luann</t>
  </si>
  <si>
    <t>Vallone</t>
  </si>
  <si>
    <t>VanderLeest</t>
  </si>
  <si>
    <t>Don &amp; Inge</t>
  </si>
  <si>
    <t>Wanggard</t>
  </si>
  <si>
    <t>Mark &amp; Nancy</t>
  </si>
  <si>
    <t>Weber</t>
  </si>
  <si>
    <t>Dave &amp; Judy</t>
  </si>
  <si>
    <t>Weiss</t>
  </si>
  <si>
    <t>Jay &amp; Kirsten</t>
  </si>
  <si>
    <t>Wernicke</t>
  </si>
  <si>
    <t>Dave &amp; Lori</t>
  </si>
  <si>
    <t>Wint</t>
  </si>
  <si>
    <t>Jonathon &amp; Gayle</t>
  </si>
  <si>
    <t>Yarrington</t>
  </si>
  <si>
    <t>Larry &amp; Jeanette</t>
  </si>
  <si>
    <t>Andersen</t>
  </si>
  <si>
    <t>Curt &amp; Marilyn</t>
  </si>
  <si>
    <t>Mark &amp; Cathy</t>
  </si>
  <si>
    <t>David &amp; Kelly</t>
  </si>
  <si>
    <t>Jeanne</t>
  </si>
  <si>
    <t>Barootian</t>
  </si>
  <si>
    <t>Eileen</t>
  </si>
  <si>
    <t>Behlke</t>
  </si>
  <si>
    <t>Darwin</t>
  </si>
  <si>
    <t>Black</t>
  </si>
  <si>
    <t>Carrie</t>
  </si>
  <si>
    <t>Campbell, Jr.</t>
  </si>
  <si>
    <t>Canman</t>
  </si>
  <si>
    <t>Cannon</t>
  </si>
  <si>
    <t>Star</t>
  </si>
  <si>
    <t>Capasso</t>
  </si>
  <si>
    <t>Jim &amp; Sara</t>
  </si>
  <si>
    <t>Christopherson</t>
  </si>
  <si>
    <t>Covelli</t>
  </si>
  <si>
    <t>Bob &amp; Lisa</t>
  </si>
  <si>
    <t>Kris</t>
  </si>
  <si>
    <t>Escobar</t>
  </si>
  <si>
    <t>Carmen</t>
  </si>
  <si>
    <t>Fenkl</t>
  </si>
  <si>
    <t>Kevin &amp; Kristi</t>
  </si>
  <si>
    <t>Frayer</t>
  </si>
  <si>
    <t>Sherry</t>
  </si>
  <si>
    <t>Grindeland</t>
  </si>
  <si>
    <t>Dawne</t>
  </si>
  <si>
    <t>Guillien</t>
  </si>
  <si>
    <t>Haman</t>
  </si>
  <si>
    <t>Jeffrey &amp; Nancy</t>
  </si>
  <si>
    <t>Helmle</t>
  </si>
  <si>
    <t>Adele</t>
  </si>
  <si>
    <t>Henkel</t>
  </si>
  <si>
    <t>Marc &amp; Linda</t>
  </si>
  <si>
    <t>Hernandez</t>
  </si>
  <si>
    <t>Bobbie</t>
  </si>
  <si>
    <t>Jensen</t>
  </si>
  <si>
    <t>Bill &amp; Kim</t>
  </si>
  <si>
    <t>Johnson</t>
  </si>
  <si>
    <t>Lyle</t>
  </si>
  <si>
    <t>Kangas</t>
  </si>
  <si>
    <t>Dale &amp; Mary Ann</t>
  </si>
  <si>
    <t>Keck</t>
  </si>
  <si>
    <t>Kenyon</t>
  </si>
  <si>
    <t>Adam</t>
  </si>
  <si>
    <t>Kisley</t>
  </si>
  <si>
    <t>Randy</t>
  </si>
  <si>
    <t>Klein</t>
  </si>
  <si>
    <t>Pat</t>
  </si>
  <si>
    <t>Kozlik</t>
  </si>
  <si>
    <t>Aaron &amp; Edith</t>
  </si>
  <si>
    <t>Dean &amp; Jody</t>
  </si>
  <si>
    <t>Krupper, Jr.</t>
  </si>
  <si>
    <t>Bernie</t>
  </si>
  <si>
    <t>Kuzniar</t>
  </si>
  <si>
    <t>Madeline</t>
  </si>
  <si>
    <t>Larson</t>
  </si>
  <si>
    <t>Judy</t>
  </si>
  <si>
    <t>Lube</t>
  </si>
  <si>
    <t>Melvina</t>
  </si>
  <si>
    <t>Masko</t>
  </si>
  <si>
    <t>Terry &amp; Linda</t>
  </si>
  <si>
    <t>Bob</t>
  </si>
  <si>
    <t>Don &amp; Sandy</t>
  </si>
  <si>
    <t>Ralph</t>
  </si>
  <si>
    <t>Miritz</t>
  </si>
  <si>
    <t>Dr. &amp; Linda</t>
  </si>
  <si>
    <t>Mitchell</t>
  </si>
  <si>
    <t>Mike</t>
  </si>
  <si>
    <t>Modrow, Sr.</t>
  </si>
  <si>
    <t>Bob &amp; Jean</t>
  </si>
  <si>
    <t>Mohalley</t>
  </si>
  <si>
    <t>Chris &amp; Kim</t>
  </si>
  <si>
    <t>Molbeck</t>
  </si>
  <si>
    <t>Murphy</t>
  </si>
  <si>
    <t>Napier</t>
  </si>
  <si>
    <t>Glenn &amp; Sue</t>
  </si>
  <si>
    <t>Earl</t>
  </si>
  <si>
    <t>JoAnn &amp; Mike</t>
  </si>
  <si>
    <t>Linda</t>
  </si>
  <si>
    <t>Tom &amp; Jackie</t>
  </si>
  <si>
    <t>Olley</t>
  </si>
  <si>
    <t>Barbara</t>
  </si>
  <si>
    <t>Olson</t>
  </si>
  <si>
    <t>Denise</t>
  </si>
  <si>
    <t>Peters</t>
  </si>
  <si>
    <t>Scott &amp; Rayann</t>
  </si>
  <si>
    <t>Petricek</t>
  </si>
  <si>
    <t>Jennifer</t>
  </si>
  <si>
    <t>Rosenberg</t>
  </si>
  <si>
    <t>Wes &amp; Tammy</t>
  </si>
  <si>
    <t>Rosienski</t>
  </si>
  <si>
    <t>Liz</t>
  </si>
  <si>
    <t>Saavedra</t>
  </si>
  <si>
    <t>Tim &amp; Kelly</t>
  </si>
  <si>
    <t>Schinkowitch</t>
  </si>
  <si>
    <t>Paul &amp; Mary</t>
  </si>
  <si>
    <t>Schultz</t>
  </si>
  <si>
    <t>Jerry &amp; Jane</t>
  </si>
  <si>
    <t>Ann</t>
  </si>
  <si>
    <t>Schwartz</t>
  </si>
  <si>
    <t>Jill</t>
  </si>
  <si>
    <t>Senzig</t>
  </si>
  <si>
    <t>Jack</t>
  </si>
  <si>
    <t>Sharpe</t>
  </si>
  <si>
    <t>Bob &amp; Barb</t>
  </si>
  <si>
    <t>Shittu</t>
  </si>
  <si>
    <t>Gilda</t>
  </si>
  <si>
    <t>Smith</t>
  </si>
  <si>
    <t>Sporer</t>
  </si>
  <si>
    <t>Mary</t>
  </si>
  <si>
    <t>Steensen</t>
  </si>
  <si>
    <t>Stich</t>
  </si>
  <si>
    <t>Crystal</t>
  </si>
  <si>
    <t>Todorovic</t>
  </si>
  <si>
    <t>Connie</t>
  </si>
  <si>
    <t>Voll</t>
  </si>
  <si>
    <t>Ron &amp; Lynda</t>
  </si>
  <si>
    <t>Wayo</t>
  </si>
  <si>
    <t>Darlene</t>
  </si>
  <si>
    <t>Eric &amp; Kari</t>
  </si>
  <si>
    <t>Wertman</t>
  </si>
  <si>
    <t>Woodhull</t>
  </si>
  <si>
    <t>Wunderle</t>
  </si>
  <si>
    <t>Jeffrey &amp; Kara</t>
  </si>
  <si>
    <t>LCR Pledge Analysis (Detail)</t>
  </si>
  <si>
    <t>MaryAnn</t>
  </si>
  <si>
    <t>Buska</t>
  </si>
  <si>
    <t>Donna</t>
  </si>
  <si>
    <t>Carlson</t>
  </si>
  <si>
    <t>Leigh &amp; Keri</t>
  </si>
  <si>
    <t>Cieczka</t>
  </si>
  <si>
    <t>Garret &amp; Cheryl</t>
  </si>
  <si>
    <t>Fries</t>
  </si>
  <si>
    <t>Jeff &amp; Barb</t>
  </si>
  <si>
    <t>Kromke</t>
  </si>
  <si>
    <t>Curt</t>
  </si>
  <si>
    <t>Larson, Jr.</t>
  </si>
  <si>
    <t>Mike &amp; Melissa</t>
  </si>
  <si>
    <t>Lewis</t>
  </si>
  <si>
    <t>Malik</t>
  </si>
  <si>
    <t>Elaine</t>
  </si>
  <si>
    <t>Jim</t>
  </si>
  <si>
    <t>Jim &amp; Mary Lou</t>
  </si>
  <si>
    <t>Drew</t>
  </si>
  <si>
    <t>Tylar</t>
  </si>
  <si>
    <t>Total Pledges (Envelop giving only)</t>
  </si>
  <si>
    <t>Budget Pacing:  Oct</t>
  </si>
  <si>
    <t xml:space="preserve">                             Nov</t>
  </si>
  <si>
    <t xml:space="preserve">                             Dec</t>
  </si>
  <si>
    <t>Total 2022 Estimate with budget pacing</t>
  </si>
  <si>
    <t>YTD Month</t>
  </si>
  <si>
    <t>Sept YTD - Actual</t>
  </si>
  <si>
    <t>Sept YTD - Budget</t>
  </si>
  <si>
    <t>Email</t>
  </si>
  <si>
    <t>Address</t>
  </si>
  <si>
    <t>Street</t>
  </si>
  <si>
    <t>City</t>
  </si>
  <si>
    <t>State</t>
  </si>
  <si>
    <t>Zip</t>
  </si>
  <si>
    <t>mmcorkdork@gmail.com</t>
  </si>
  <si>
    <t>102 Portical Drive</t>
  </si>
  <si>
    <t>Mt Pleasant</t>
  </si>
  <si>
    <t>WI</t>
  </si>
  <si>
    <t>853 Stonefield Dr #301</t>
  </si>
  <si>
    <t>kath131@wi.rr.com</t>
  </si>
  <si>
    <t>3635 Monica Drive</t>
  </si>
  <si>
    <t>petvalhalla@sbcglobal.net</t>
  </si>
  <si>
    <t>Franksville</t>
  </si>
  <si>
    <t>davebackmann@gmail.com</t>
  </si>
  <si>
    <t>4529 Kerry Road</t>
  </si>
  <si>
    <t>jebaroot63@msn.com</t>
  </si>
  <si>
    <t>5624 Cambridge Lane #5</t>
  </si>
  <si>
    <t>abaumga08@yahoo.com</t>
  </si>
  <si>
    <t>2536 Dover Land</t>
  </si>
  <si>
    <t>Baylon</t>
  </si>
  <si>
    <t>carolann35@me.com</t>
  </si>
  <si>
    <t>6731 Brook Road</t>
  </si>
  <si>
    <t>psbelanger8@att.net</t>
  </si>
  <si>
    <t>2119 Waukesha Road</t>
  </si>
  <si>
    <t>Caledonia</t>
  </si>
  <si>
    <t>Susann</t>
  </si>
  <si>
    <t>2908 Raymond Ave</t>
  </si>
  <si>
    <t>$50 weekly to be given on a monthly basis</t>
  </si>
  <si>
    <t>dalton6466@gmail.com</t>
  </si>
  <si>
    <t>3608 Indian Trail</t>
  </si>
  <si>
    <t>Racine</t>
  </si>
  <si>
    <t>dimae525@yahoo.com</t>
  </si>
  <si>
    <t>Union Grove</t>
  </si>
  <si>
    <t>chriscampbell1106@gmail.com</t>
  </si>
  <si>
    <t>5737 Little Timber Dr</t>
  </si>
  <si>
    <t>sacnpac1239@gmail.com</t>
  </si>
  <si>
    <t>1550 Raintree Land #111</t>
  </si>
  <si>
    <t>D'Amour</t>
  </si>
  <si>
    <t>2651 Penbrook Dr</t>
  </si>
  <si>
    <t>ldoe@wi.rr.com</t>
  </si>
  <si>
    <t>5718 Cambridge Ln Unit 1</t>
  </si>
  <si>
    <t>53406-2833</t>
  </si>
  <si>
    <t>4611 Westway Ave</t>
  </si>
  <si>
    <t>53405-1957</t>
  </si>
  <si>
    <t>1100 Fountain Hills Dr</t>
  </si>
  <si>
    <t>blerbe500@gmail.com</t>
  </si>
  <si>
    <t>543 Mulberry Lane</t>
  </si>
  <si>
    <t>ericksoncarln@yahoo.com</t>
  </si>
  <si>
    <t>6830 Cliffside Dr</t>
  </si>
  <si>
    <t>conniegardner1@hotmail.com</t>
  </si>
  <si>
    <t>5900 Marnie Ct</t>
  </si>
  <si>
    <t>cjgavigan177@gmail.com</t>
  </si>
  <si>
    <t>102 Portico Drive</t>
  </si>
  <si>
    <t>5128 Cynthia Lane</t>
  </si>
  <si>
    <t>Janice</t>
  </si>
  <si>
    <t>jhgilby_72@yahoo.com</t>
  </si>
  <si>
    <t>5600 Cambridge Lane Unit #6</t>
  </si>
  <si>
    <t>thauch@wi.rr.com</t>
  </si>
  <si>
    <t>jchewitt1943@gmail.com</t>
  </si>
  <si>
    <t>1100 Fountain Hills Dr  Apt 207A</t>
  </si>
  <si>
    <t>ghholm2@aol.com</t>
  </si>
  <si>
    <t>9439 Luanne Drive</t>
  </si>
  <si>
    <t>rholz1@wi.rr.com</t>
  </si>
  <si>
    <t>115 Robin Hill Drive</t>
  </si>
  <si>
    <t>1340 Arthur Avenue</t>
  </si>
  <si>
    <t>lynette.jacobson54@gmail.com</t>
  </si>
  <si>
    <t>dmj7140@gmail.com</t>
  </si>
  <si>
    <t>7140 Aspen Ct</t>
  </si>
  <si>
    <t>4800 Ridgeway Avenue</t>
  </si>
  <si>
    <t>1101 Augusta Street</t>
  </si>
  <si>
    <t>1501 Mauroe</t>
  </si>
  <si>
    <t>leazer@wi.rr.com</t>
  </si>
  <si>
    <t>1075 E Twin Oaks Drive</t>
  </si>
  <si>
    <t>Oak Creek</t>
  </si>
  <si>
    <t>esmalik@msn.com</t>
  </si>
  <si>
    <t>5215 Douglas Ave Apt 202</t>
  </si>
  <si>
    <t>mary.ann.mantey@gmail.com</t>
  </si>
  <si>
    <t>4512 Thomas Street</t>
  </si>
  <si>
    <t>matthew3239@sbcglobal.net</t>
  </si>
  <si>
    <t>3239 Fenceline Road</t>
  </si>
  <si>
    <t>mckennacolin59@gmail.com</t>
  </si>
  <si>
    <t>724 Crabtree Lane</t>
  </si>
  <si>
    <t>Christine</t>
  </si>
  <si>
    <t>jbknclm@att.net</t>
  </si>
  <si>
    <t>2121 Waukesha Road</t>
  </si>
  <si>
    <t>juliesptflowers@att.net</t>
  </si>
  <si>
    <t>2816 Shamrock Drive</t>
  </si>
  <si>
    <t>mitzymm@yahoo.com</t>
  </si>
  <si>
    <t>5313 Spring Street</t>
  </si>
  <si>
    <t>wmortensen@wi.rr.com</t>
  </si>
  <si>
    <t>5127  7 Mile Road</t>
  </si>
  <si>
    <t>rpetrach@gmail.com</t>
  </si>
  <si>
    <t>731 Sunnyview</t>
  </si>
  <si>
    <t>1415 53rd Drive</t>
  </si>
  <si>
    <t>tjsaavedra@hotmail.com</t>
  </si>
  <si>
    <t>3131 Reddin Road</t>
  </si>
  <si>
    <t>Wisconsin Rapids</t>
  </si>
  <si>
    <t>Give only when they attend with their parents</t>
  </si>
  <si>
    <t>tksheri1972@sbcglobal.net</t>
  </si>
  <si>
    <t>3601 Kinzie Avenue</t>
  </si>
  <si>
    <t>4616 Pierce Blvd</t>
  </si>
  <si>
    <t>fmstrudrawa@aol.com</t>
  </si>
  <si>
    <t>4335 Patzke Road</t>
  </si>
  <si>
    <t>mark.nancy1993@gmail.com</t>
  </si>
  <si>
    <t>6314 Larchmont Drive</t>
  </si>
  <si>
    <t>2715 Kenwood Drive</t>
  </si>
  <si>
    <t>ladw@sbcglobal.net</t>
  </si>
  <si>
    <t>243 Blaine Avenue</t>
  </si>
  <si>
    <t>jeffwunderle@yahoo.com</t>
  </si>
  <si>
    <t>Weeks</t>
  </si>
  <si>
    <t>Bi-Weeks</t>
  </si>
  <si>
    <t>Pledge is $175/month but $25/month goes to Building fund</t>
  </si>
  <si>
    <t>Total Pledge</t>
  </si>
  <si>
    <t>Total Estimate</t>
  </si>
  <si>
    <t>Left Church</t>
  </si>
  <si>
    <t>Remove per Cheryl</t>
  </si>
  <si>
    <t>Moved</t>
  </si>
  <si>
    <t>Deceased</t>
  </si>
  <si>
    <t>Haven't attended church</t>
  </si>
  <si>
    <t xml:space="preserve">          Estimate</t>
  </si>
  <si>
    <t>2022 Estimate (Envelop giving only)</t>
  </si>
  <si>
    <t>Estimate (no pledge received)</t>
  </si>
  <si>
    <t>Wants to stay as a member but might not contribute</t>
  </si>
  <si>
    <t>Brennan</t>
  </si>
  <si>
    <t>Dave &amp; Lindsay</t>
  </si>
  <si>
    <t>%</t>
  </si>
  <si>
    <t>Stopped their automatic giving Nov 2022</t>
  </si>
  <si>
    <t>Giving $</t>
  </si>
  <si>
    <t>2023 Pledges</t>
  </si>
  <si>
    <t>Using for 2023 Budget</t>
  </si>
  <si>
    <t>#</t>
  </si>
  <si>
    <t xml:space="preserve">  Before Easter, Thanksgiving and Christmas</t>
  </si>
  <si>
    <t>Dr Steve &amp; Kim</t>
  </si>
  <si>
    <t>Betty and Ken Rubin</t>
  </si>
  <si>
    <t>Hansen</t>
  </si>
  <si>
    <t>Glenn &amp; Renee</t>
  </si>
  <si>
    <t>Gregg &amp; Kris</t>
  </si>
  <si>
    <t>2022 Giving</t>
  </si>
  <si>
    <t>Total 2023 Budget</t>
  </si>
  <si>
    <t>2024:</t>
  </si>
  <si>
    <t>carrie.black2228@gmail.com</t>
  </si>
  <si>
    <t>3329 15th Ave Apt #2</t>
  </si>
  <si>
    <t>Kenosha</t>
  </si>
  <si>
    <t>bblickle@wi.rr.com</t>
  </si>
  <si>
    <t>126 Robin Hill Drive</t>
  </si>
  <si>
    <t>1610 N. Rayner Avenue</t>
  </si>
  <si>
    <t>8303 12th Place</t>
  </si>
  <si>
    <t>linstolen@gmail.com</t>
  </si>
  <si>
    <t>4919 Beacon Lane</t>
  </si>
  <si>
    <t>Wind Point</t>
  </si>
  <si>
    <t>Kimsc31@aol.com</t>
  </si>
  <si>
    <t>4019 Southwood Drive</t>
  </si>
  <si>
    <t>kitandmaryjane@yahoo.com</t>
  </si>
  <si>
    <t>6339 Kingsview Drive #1</t>
  </si>
  <si>
    <t>1629 Echo Lane</t>
  </si>
  <si>
    <t>fcurran@wi.rr.com</t>
  </si>
  <si>
    <t>1904 Polaris Ave</t>
  </si>
  <si>
    <t>4405 21st Street</t>
  </si>
  <si>
    <t>53406-7627</t>
  </si>
  <si>
    <t>klfritz1@gmail.com</t>
  </si>
  <si>
    <t>3163 Linden Lane</t>
  </si>
  <si>
    <t>sandra.georgeson@yahoo.com
jgeorgeson@wi.rr.com</t>
  </si>
  <si>
    <t>lingissl@gmail.com</t>
  </si>
  <si>
    <t>1124 Tall Oak Ct</t>
  </si>
  <si>
    <t>1727 Mt Pleasant Street</t>
  </si>
  <si>
    <t>glenn.hansen7@yahoo.com
gr.hansen95@yahoo.com</t>
  </si>
  <si>
    <t>1316 Spring Valley Drive</t>
  </si>
  <si>
    <t>Notes</t>
  </si>
  <si>
    <t>also $35/week for building</t>
  </si>
  <si>
    <t>Give all in Dec 2024</t>
  </si>
  <si>
    <t>Given all in Jan or Feb 2024</t>
  </si>
  <si>
    <t>dubar@att.net (Duanne)
barbkh42@yahoo.com (Barb)</t>
  </si>
  <si>
    <t>1214 West Lawn Ave</t>
  </si>
  <si>
    <t>crlpeppershaker@hol.com</t>
  </si>
  <si>
    <t>8148 Dorothy Ct</t>
  </si>
  <si>
    <t>Mt. Pleasant</t>
  </si>
  <si>
    <t>no set amount</t>
  </si>
  <si>
    <t>jkiemen1942@gmail.com or
jkreader1942@gmail.com</t>
  </si>
  <si>
    <t>IRA Distribution</t>
  </si>
  <si>
    <t>pursonalityjen@gmail.com</t>
  </si>
  <si>
    <t>3040 Fenceline Road</t>
  </si>
  <si>
    <t>jkoechell@att.net</t>
  </si>
  <si>
    <t>4907 Westway Avenue</t>
  </si>
  <si>
    <t>also, $1,440 ($120/month community meal)
$1,000 youth trip and/or summer program</t>
  </si>
  <si>
    <t>2113 Neptune Circle</t>
  </si>
  <si>
    <t>53404-1965</t>
  </si>
  <si>
    <t>nhkroll@sbcglobal.net</t>
  </si>
  <si>
    <t>2064 Erie Street</t>
  </si>
  <si>
    <t>bettylewis4120@gmail.com</t>
  </si>
  <si>
    <t>148 Robin Hill Drive</t>
  </si>
  <si>
    <t>lindalewis099@gmail.com</t>
  </si>
  <si>
    <t>3323 Hamlin Avenue</t>
  </si>
  <si>
    <t>53405-1944</t>
  </si>
  <si>
    <t>rmmiller10@hotmail.com</t>
  </si>
  <si>
    <t>220 Virginia Street</t>
  </si>
  <si>
    <t>on-line through Raymond James</t>
  </si>
  <si>
    <t>mohalleyfam@sbcglobal.net</t>
  </si>
  <si>
    <t>vda0369@yahoo.com</t>
  </si>
  <si>
    <t>3819 25th Street</t>
  </si>
  <si>
    <t>all by June 30, 2024</t>
  </si>
  <si>
    <t>sdn313@hotmail.com</t>
  </si>
  <si>
    <t>9230 Dahlia Lane</t>
  </si>
  <si>
    <t>4815 Piper Lane</t>
  </si>
  <si>
    <t>mnelson224@wi.rr.com</t>
  </si>
  <si>
    <t>424 Whippletree Lane</t>
  </si>
  <si>
    <t>Waterford</t>
  </si>
  <si>
    <t>grmagne9@ww.rr.com</t>
  </si>
  <si>
    <t>100 Perry Avenue</t>
  </si>
  <si>
    <t>Wi</t>
  </si>
  <si>
    <t>dw.nielsen@yahoo.com</t>
  </si>
  <si>
    <t>3038 Pritchrad Drive</t>
  </si>
  <si>
    <t>$26k in Jan via IRA
$54k in July via check</t>
  </si>
  <si>
    <t>extrovert.grampa@gmail.com</t>
  </si>
  <si>
    <t>13810 Shepherds Path NW  Apt#340</t>
  </si>
  <si>
    <t>Prior Lake</t>
  </si>
  <si>
    <t>MN</t>
  </si>
  <si>
    <t>55379-2483</t>
  </si>
  <si>
    <t>hotgram57@hotmail.com</t>
  </si>
  <si>
    <t>staceyr@wi.rr.com</t>
  </si>
  <si>
    <t>Stacey</t>
  </si>
  <si>
    <t>9902 6 Mile Road</t>
  </si>
  <si>
    <t>sjscore44@gmail.com</t>
  </si>
  <si>
    <t>4539 Pilgrim Drive</t>
  </si>
  <si>
    <t>901 Coronada Drive</t>
  </si>
  <si>
    <t>tunie8420@aol.com</t>
  </si>
  <si>
    <t>5835 Potomac Place</t>
  </si>
  <si>
    <t>tytrabert@att.net</t>
  </si>
  <si>
    <t>2341 Green Haze Avenue</t>
  </si>
  <si>
    <t>cbvacek@hotmail.com</t>
  </si>
  <si>
    <t>7335 Botting Road</t>
  </si>
  <si>
    <t>gltingb@gmail.com</t>
  </si>
  <si>
    <t>5734 Sandell Way</t>
  </si>
  <si>
    <t>Trenton</t>
  </si>
  <si>
    <t>Nathan &amp; Crystal</t>
  </si>
  <si>
    <t>Fisher</t>
  </si>
  <si>
    <t>Rob and Mardell</t>
  </si>
  <si>
    <t>5901 Marnie Ct</t>
  </si>
  <si>
    <t>Gaskill</t>
  </si>
  <si>
    <t>Graceffa</t>
  </si>
  <si>
    <t>Hoefs</t>
  </si>
  <si>
    <t>Lynn</t>
  </si>
  <si>
    <t>Delmar</t>
  </si>
  <si>
    <t>McDonough</t>
  </si>
  <si>
    <t>Tom</t>
  </si>
  <si>
    <t>Radke</t>
  </si>
  <si>
    <t>Keith</t>
  </si>
  <si>
    <t>Mike and Debbie</t>
  </si>
  <si>
    <t>X</t>
  </si>
  <si>
    <t>Pledge Difference (converted 2023 to 52 weeks)</t>
  </si>
  <si>
    <t>this will be different then o - k as the weeks are converted for years with 53 weeks</t>
  </si>
  <si>
    <t>Pledged same as in 2023</t>
  </si>
  <si>
    <t>Detail History</t>
  </si>
  <si>
    <t>Did not pledge in 2023 but pledged in 2024</t>
  </si>
  <si>
    <t>Sort</t>
  </si>
  <si>
    <t>N</t>
  </si>
  <si>
    <t>Doug &amp; Sue</t>
  </si>
  <si>
    <t>Marv &amp; Chris</t>
  </si>
  <si>
    <t>Steve</t>
  </si>
  <si>
    <t>Gedemer</t>
  </si>
  <si>
    <t>Candace</t>
  </si>
  <si>
    <t>Starting giving in 2024</t>
  </si>
  <si>
    <t>Lasch</t>
  </si>
  <si>
    <t>Russell &amp; Bette</t>
  </si>
  <si>
    <t xml:space="preserve">Robert </t>
  </si>
  <si>
    <t>Ludwin</t>
  </si>
  <si>
    <t>Jim &amp; Cory</t>
  </si>
  <si>
    <t>Miner</t>
  </si>
  <si>
    <t>Jeff &amp; Cherie</t>
  </si>
  <si>
    <t>Dwayne</t>
  </si>
  <si>
    <t>Riedel</t>
  </si>
  <si>
    <t>Luanne</t>
  </si>
  <si>
    <t>Paul &amp; Dori</t>
  </si>
  <si>
    <t>Danielle</t>
  </si>
  <si>
    <t>Steberl</t>
  </si>
  <si>
    <t>Rick &amp; Barb</t>
  </si>
  <si>
    <t>Total given Jan-Feb</t>
  </si>
  <si>
    <t>Jeff &amp; Diana</t>
  </si>
  <si>
    <t>Age (over 75) in 2024</t>
  </si>
  <si>
    <t>86/85</t>
  </si>
  <si>
    <t>73/76</t>
  </si>
  <si>
    <t>71/75</t>
  </si>
  <si>
    <t>77/78</t>
  </si>
  <si>
    <t>Larger givers over 75</t>
  </si>
  <si>
    <t>Feb Estimate gave in 2023 and in Jan/Feb 2024</t>
  </si>
  <si>
    <t>Feb Estimate gave in 2023 but did not given in Jan/Feb 2024</t>
  </si>
  <si>
    <t>Dec YTD</t>
  </si>
  <si>
    <t>Dresen</t>
  </si>
  <si>
    <t>Wes &amp; Roxann</t>
  </si>
  <si>
    <t>Honsberger</t>
  </si>
  <si>
    <t>Neil &amp; Linda</t>
  </si>
  <si>
    <t>New givers in 2024 (did not give in 2023 and not estimated)</t>
  </si>
  <si>
    <t>Feb 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</si>
</sst>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"/>
    <numFmt numFmtId="166" formatCode="&quot;$&quot;#,##0.00"/>
    <numFmt numFmtId="167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03">
    <xf numFmtId="0" fontId="0" fillId="0" borderId="0" xfId="0"/>
    <xf numFmtId="3" fontId="0" fillId="0" borderId="0" xfId="0" applyNumberFormat="1"/>
    <xf numFmtId="0" fontId="0" fillId="0" borderId="4" xfId="0" applyBorder="1"/>
    <xf numFmtId="0" fontId="0" fillId="0" borderId="0" xfId="0" applyBorder="1"/>
    <xf numFmtId="3" fontId="0" fillId="0" borderId="5" xfId="0" applyNumberFormat="1" applyBorder="1"/>
    <xf numFmtId="46" fontId="2" fillId="0" borderId="4" xfId="0" quotePrefix="1" applyNumberFormat="1" applyFont="1" applyBorder="1"/>
    <xf numFmtId="0" fontId="0" fillId="0" borderId="5" xfId="0" applyBorder="1"/>
    <xf numFmtId="3" fontId="0" fillId="0" borderId="0" xfId="0" applyNumberFormat="1" applyBorder="1"/>
    <xf numFmtId="0" fontId="7" fillId="0" borderId="0" xfId="0" applyFont="1" applyBorder="1" applyAlignment="1">
      <alignment horizontal="center" wrapText="1"/>
    </xf>
    <xf numFmtId="0" fontId="2" fillId="2" borderId="6" xfId="0" applyFont="1" applyFill="1" applyBorder="1"/>
    <xf numFmtId="3" fontId="2" fillId="2" borderId="7" xfId="0" applyNumberFormat="1" applyFont="1" applyFill="1" applyBorder="1"/>
    <xf numFmtId="3" fontId="2" fillId="2" borderId="8" xfId="0" applyNumberFormat="1" applyFont="1" applyFill="1" applyBorder="1"/>
    <xf numFmtId="0" fontId="7" fillId="0" borderId="0" xfId="0" applyFont="1" applyBorder="1" applyAlignment="1">
      <alignment horizontal="center"/>
    </xf>
    <xf numFmtId="3" fontId="4" fillId="0" borderId="0" xfId="0" applyNumberFormat="1" applyFont="1" applyBorder="1"/>
    <xf numFmtId="0" fontId="2" fillId="2" borderId="4" xfId="0" applyFont="1" applyFill="1" applyBorder="1"/>
    <xf numFmtId="164" fontId="0" fillId="0" borderId="0" xfId="2" applyNumberFormat="1" applyFont="1" applyBorder="1"/>
    <xf numFmtId="164" fontId="2" fillId="2" borderId="0" xfId="2" applyNumberFormat="1" applyFont="1" applyFill="1" applyBorder="1"/>
    <xf numFmtId="0" fontId="0" fillId="2" borderId="3" xfId="0" applyFill="1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164" fontId="2" fillId="2" borderId="7" xfId="2" applyNumberFormat="1" applyFont="1" applyFill="1" applyBorder="1"/>
    <xf numFmtId="9" fontId="2" fillId="2" borderId="8" xfId="2" applyFont="1" applyFill="1" applyBorder="1"/>
    <xf numFmtId="3" fontId="4" fillId="0" borderId="4" xfId="0" applyNumberFormat="1" applyFont="1" applyBorder="1"/>
    <xf numFmtId="3" fontId="2" fillId="2" borderId="6" xfId="0" applyNumberFormat="1" applyFont="1" applyFill="1" applyBorder="1"/>
    <xf numFmtId="3" fontId="4" fillId="0" borderId="13" xfId="0" applyNumberFormat="1" applyFont="1" applyBorder="1"/>
    <xf numFmtId="3" fontId="2" fillId="2" borderId="14" xfId="0" applyNumberFormat="1" applyFont="1" applyFill="1" applyBorder="1"/>
    <xf numFmtId="3" fontId="4" fillId="0" borderId="0" xfId="0" applyNumberFormat="1" applyFont="1" applyBorder="1" applyAlignment="1">
      <alignment horizontal="center"/>
    </xf>
    <xf numFmtId="3" fontId="5" fillId="0" borderId="5" xfId="0" applyNumberFormat="1" applyFont="1" applyBorder="1"/>
    <xf numFmtId="3" fontId="0" fillId="0" borderId="4" xfId="0" applyNumberFormat="1" applyBorder="1"/>
    <xf numFmtId="0" fontId="2" fillId="2" borderId="7" xfId="0" applyFont="1" applyFill="1" applyBorder="1"/>
    <xf numFmtId="0" fontId="2" fillId="2" borderId="8" xfId="0" applyFont="1" applyFill="1" applyBorder="1"/>
    <xf numFmtId="165" fontId="0" fillId="0" borderId="0" xfId="0" applyNumberFormat="1" applyBorder="1"/>
    <xf numFmtId="165" fontId="0" fillId="0" borderId="0" xfId="1" applyNumberFormat="1" applyFont="1" applyBorder="1"/>
    <xf numFmtId="165" fontId="8" fillId="2" borderId="0" xfId="1" applyNumberFormat="1" applyFont="1" applyFill="1" applyBorder="1"/>
    <xf numFmtId="165" fontId="2" fillId="2" borderId="7" xfId="1" applyNumberFormat="1" applyFont="1" applyFill="1" applyBorder="1"/>
    <xf numFmtId="165" fontId="2" fillId="2" borderId="0" xfId="1" applyNumberFormat="1" applyFont="1" applyFill="1" applyBorder="1"/>
    <xf numFmtId="165" fontId="2" fillId="2" borderId="7" xfId="0" applyNumberFormat="1" applyFont="1" applyFill="1" applyBorder="1"/>
    <xf numFmtId="0" fontId="0" fillId="0" borderId="0" xfId="0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64" fontId="2" fillId="0" borderId="0" xfId="2" applyNumberFormat="1" applyFont="1" applyFill="1" applyBorder="1"/>
    <xf numFmtId="165" fontId="2" fillId="0" borderId="0" xfId="1" applyNumberFormat="1" applyFont="1" applyFill="1" applyBorder="1"/>
    <xf numFmtId="0" fontId="2" fillId="0" borderId="5" xfId="0" applyFont="1" applyFill="1" applyBorder="1"/>
    <xf numFmtId="0" fontId="0" fillId="0" borderId="4" xfId="0" applyFont="1" applyFill="1" applyBorder="1"/>
    <xf numFmtId="164" fontId="0" fillId="0" borderId="5" xfId="2" applyNumberFormat="1" applyFont="1" applyBorder="1"/>
    <xf numFmtId="165" fontId="5" fillId="0" borderId="0" xfId="1" applyNumberFormat="1" applyFont="1" applyFill="1" applyBorder="1"/>
    <xf numFmtId="0" fontId="4" fillId="0" borderId="0" xfId="0" applyFont="1"/>
    <xf numFmtId="164" fontId="2" fillId="2" borderId="8" xfId="2" applyNumberFormat="1" applyFont="1" applyFill="1" applyBorder="1"/>
    <xf numFmtId="165" fontId="5" fillId="0" borderId="16" xfId="1" applyNumberFormat="1" applyFont="1" applyFill="1" applyBorder="1"/>
    <xf numFmtId="164" fontId="2" fillId="0" borderId="16" xfId="2" applyNumberFormat="1" applyFont="1" applyFill="1" applyBorder="1"/>
    <xf numFmtId="165" fontId="2" fillId="0" borderId="16" xfId="1" applyNumberFormat="1" applyFont="1" applyFill="1" applyBorder="1"/>
    <xf numFmtId="0" fontId="2" fillId="0" borderId="17" xfId="0" applyFont="1" applyFill="1" applyBorder="1"/>
    <xf numFmtId="0" fontId="0" fillId="0" borderId="15" xfId="0" applyBorder="1"/>
    <xf numFmtId="165" fontId="0" fillId="0" borderId="16" xfId="1" applyNumberFormat="1" applyFont="1" applyBorder="1"/>
    <xf numFmtId="3" fontId="0" fillId="0" borderId="16" xfId="0" applyNumberFormat="1" applyBorder="1"/>
    <xf numFmtId="164" fontId="0" fillId="0" borderId="17" xfId="2" applyNumberFormat="1" applyFont="1" applyBorder="1"/>
    <xf numFmtId="0" fontId="4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2" fillId="2" borderId="7" xfId="0" applyNumberFormat="1" applyFont="1" applyFill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5" fontId="2" fillId="2" borderId="7" xfId="0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3" fontId="11" fillId="0" borderId="0" xfId="3" applyNumberFormat="1"/>
    <xf numFmtId="3" fontId="4" fillId="0" borderId="0" xfId="0" applyNumberFormat="1" applyFont="1"/>
    <xf numFmtId="3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9" fontId="4" fillId="0" borderId="0" xfId="2" applyFont="1"/>
    <xf numFmtId="3" fontId="12" fillId="0" borderId="0" xfId="3" applyNumberFormat="1" applyFont="1"/>
    <xf numFmtId="4" fontId="4" fillId="0" borderId="0" xfId="0" applyNumberFormat="1" applyFont="1"/>
    <xf numFmtId="166" fontId="0" fillId="0" borderId="0" xfId="0" applyNumberFormat="1"/>
    <xf numFmtId="3" fontId="2" fillId="0" borderId="6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0" fillId="0" borderId="6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7" xfId="0" applyNumberFormat="1" applyBorder="1" applyAlignment="1">
      <alignment horizontal="center" vertical="center" wrapText="1"/>
    </xf>
    <xf numFmtId="3" fontId="0" fillId="0" borderId="4" xfId="0" applyNumberFormat="1" applyFill="1" applyBorder="1"/>
    <xf numFmtId="3" fontId="0" fillId="0" borderId="5" xfId="0" applyNumberFormat="1" applyFill="1" applyBorder="1"/>
    <xf numFmtId="3" fontId="4" fillId="0" borderId="0" xfId="0" applyNumberFormat="1" applyFont="1" applyFill="1" applyBorder="1"/>
    <xf numFmtId="3" fontId="4" fillId="0" borderId="4" xfId="0" applyNumberFormat="1" applyFont="1" applyFill="1" applyBorder="1"/>
    <xf numFmtId="3" fontId="5" fillId="0" borderId="5" xfId="0" applyNumberFormat="1" applyFont="1" applyFill="1" applyBorder="1"/>
    <xf numFmtId="3" fontId="4" fillId="0" borderId="0" xfId="0" applyNumberFormat="1" applyFont="1" applyFill="1" applyBorder="1" applyAlignment="1">
      <alignment horizontal="center"/>
    </xf>
    <xf numFmtId="3" fontId="5" fillId="0" borderId="5" xfId="0" applyNumberFormat="1" applyFont="1" applyFill="1" applyBorder="1" applyAlignment="1">
      <alignment horizontal="center"/>
    </xf>
    <xf numFmtId="3" fontId="4" fillId="0" borderId="0" xfId="0" applyNumberFormat="1" applyFont="1" applyFill="1"/>
    <xf numFmtId="3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  <xf numFmtId="3" fontId="0" fillId="3" borderId="4" xfId="0" applyNumberFormat="1" applyFill="1" applyBorder="1"/>
    <xf numFmtId="3" fontId="0" fillId="3" borderId="5" xfId="0" applyNumberFormat="1" applyFill="1" applyBorder="1"/>
    <xf numFmtId="3" fontId="4" fillId="3" borderId="0" xfId="0" applyNumberFormat="1" applyFont="1" applyFill="1" applyBorder="1"/>
    <xf numFmtId="3" fontId="4" fillId="3" borderId="4" xfId="0" applyNumberFormat="1" applyFont="1" applyFill="1" applyBorder="1"/>
    <xf numFmtId="3" fontId="5" fillId="3" borderId="5" xfId="0" applyNumberFormat="1" applyFont="1" applyFill="1" applyBorder="1"/>
    <xf numFmtId="3" fontId="4" fillId="3" borderId="0" xfId="0" applyNumberFormat="1" applyFont="1" applyFill="1" applyBorder="1" applyAlignment="1">
      <alignment horizontal="center"/>
    </xf>
    <xf numFmtId="3" fontId="5" fillId="3" borderId="4" xfId="0" applyNumberFormat="1" applyFont="1" applyFill="1" applyBorder="1"/>
    <xf numFmtId="3" fontId="5" fillId="3" borderId="5" xfId="0" applyNumberFormat="1" applyFont="1" applyFill="1" applyBorder="1" applyAlignment="1">
      <alignment horizontal="center"/>
    </xf>
    <xf numFmtId="3" fontId="4" fillId="3" borderId="0" xfId="0" applyNumberFormat="1" applyFont="1" applyFill="1"/>
    <xf numFmtId="3" fontId="4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3" fontId="4" fillId="3" borderId="13" xfId="0" applyNumberFormat="1" applyFont="1" applyFill="1" applyBorder="1"/>
    <xf numFmtId="3" fontId="4" fillId="0" borderId="13" xfId="0" applyNumberFormat="1" applyFont="1" applyFill="1" applyBorder="1"/>
    <xf numFmtId="9" fontId="0" fillId="0" borderId="0" xfId="2" applyFont="1" applyBorder="1" applyAlignment="1">
      <alignment horizontal="center"/>
    </xf>
    <xf numFmtId="9" fontId="0" fillId="2" borderId="7" xfId="0" applyNumberFormat="1" applyFill="1" applyBorder="1" applyAlignment="1">
      <alignment horizontal="center"/>
    </xf>
    <xf numFmtId="165" fontId="2" fillId="2" borderId="0" xfId="0" applyNumberFormat="1" applyFont="1" applyFill="1" applyBorder="1"/>
    <xf numFmtId="3" fontId="2" fillId="2" borderId="0" xfId="0" applyNumberFormat="1" applyFont="1" applyFill="1" applyBorder="1"/>
    <xf numFmtId="0" fontId="2" fillId="2" borderId="5" xfId="0" applyFont="1" applyFill="1" applyBorder="1"/>
    <xf numFmtId="0" fontId="0" fillId="0" borderId="0" xfId="0" applyFont="1" applyFill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0" fontId="0" fillId="0" borderId="6" xfId="0" applyBorder="1"/>
    <xf numFmtId="165" fontId="0" fillId="0" borderId="7" xfId="0" applyNumberFormat="1" applyFont="1" applyFill="1" applyBorder="1"/>
    <xf numFmtId="165" fontId="0" fillId="0" borderId="7" xfId="1" applyNumberFormat="1" applyFont="1" applyBorder="1"/>
    <xf numFmtId="0" fontId="0" fillId="2" borderId="1" xfId="0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0" borderId="8" xfId="1" applyNumberFormat="1" applyFont="1" applyBorder="1"/>
    <xf numFmtId="167" fontId="3" fillId="2" borderId="18" xfId="4" applyNumberFormat="1" applyFont="1" applyFill="1" applyBorder="1"/>
    <xf numFmtId="0" fontId="0" fillId="0" borderId="0" xfId="0" applyAlignment="1">
      <alignment horizontal="right"/>
    </xf>
    <xf numFmtId="3" fontId="4" fillId="0" borderId="5" xfId="0" applyNumberFormat="1" applyFont="1" applyBorder="1"/>
    <xf numFmtId="9" fontId="2" fillId="2" borderId="5" xfId="2" applyFont="1" applyFill="1" applyBorder="1"/>
    <xf numFmtId="9" fontId="2" fillId="2" borderId="5" xfId="2" applyNumberFormat="1" applyFont="1" applyFill="1" applyBorder="1"/>
    <xf numFmtId="3" fontId="0" fillId="4" borderId="4" xfId="0" applyNumberFormat="1" applyFill="1" applyBorder="1"/>
    <xf numFmtId="3" fontId="0" fillId="4" borderId="5" xfId="0" applyNumberFormat="1" applyFill="1" applyBorder="1"/>
    <xf numFmtId="3" fontId="4" fillId="4" borderId="0" xfId="0" applyNumberFormat="1" applyFont="1" applyFill="1" applyBorder="1"/>
    <xf numFmtId="3" fontId="4" fillId="4" borderId="4" xfId="0" applyNumberFormat="1" applyFont="1" applyFill="1" applyBorder="1"/>
    <xf numFmtId="3" fontId="5" fillId="4" borderId="5" xfId="0" applyNumberFormat="1" applyFont="1" applyFill="1" applyBorder="1"/>
    <xf numFmtId="3" fontId="4" fillId="4" borderId="0" xfId="0" applyNumberFormat="1" applyFont="1" applyFill="1" applyBorder="1" applyAlignment="1">
      <alignment horizontal="center"/>
    </xf>
    <xf numFmtId="3" fontId="4" fillId="4" borderId="0" xfId="0" applyNumberFormat="1" applyFont="1" applyFill="1"/>
    <xf numFmtId="3" fontId="4" fillId="4" borderId="0" xfId="0" applyNumberFormat="1" applyFont="1" applyFill="1" applyAlignment="1">
      <alignment horizontal="center"/>
    </xf>
    <xf numFmtId="0" fontId="4" fillId="4" borderId="0" xfId="0" applyNumberFormat="1" applyFont="1" applyFill="1" applyAlignment="1">
      <alignment horizontal="center"/>
    </xf>
    <xf numFmtId="3" fontId="11" fillId="4" borderId="0" xfId="3" applyNumberFormat="1" applyFill="1"/>
    <xf numFmtId="3" fontId="11" fillId="0" borderId="0" xfId="3" applyNumberFormat="1" applyAlignment="1">
      <alignment wrapText="1"/>
    </xf>
    <xf numFmtId="3" fontId="4" fillId="0" borderId="0" xfId="0" applyNumberFormat="1" applyFont="1" applyAlignment="1">
      <alignment wrapText="1"/>
    </xf>
    <xf numFmtId="3" fontId="9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4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3" fontId="5" fillId="3" borderId="0" xfId="0" applyNumberFormat="1" applyFont="1" applyFill="1" applyBorder="1" applyAlignment="1">
      <alignment horizontal="center"/>
    </xf>
    <xf numFmtId="3" fontId="2" fillId="0" borderId="6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wrapText="1"/>
    </xf>
    <xf numFmtId="3" fontId="4" fillId="4" borderId="13" xfId="0" applyNumberFormat="1" applyFont="1" applyFill="1" applyBorder="1"/>
    <xf numFmtId="3" fontId="0" fillId="0" borderId="6" xfId="0" applyNumberFormat="1" applyFill="1" applyBorder="1" applyAlignment="1">
      <alignment horizontal="center" vertical="center"/>
    </xf>
    <xf numFmtId="3" fontId="0" fillId="0" borderId="8" xfId="0" applyNumberFormat="1" applyFill="1" applyBorder="1" applyAlignment="1">
      <alignment horizontal="center" vertical="center"/>
    </xf>
    <xf numFmtId="3" fontId="5" fillId="0" borderId="4" xfId="0" applyNumberFormat="1" applyFont="1" applyFill="1" applyBorder="1"/>
    <xf numFmtId="3" fontId="0" fillId="0" borderId="0" xfId="0" applyNumberFormat="1" applyFill="1"/>
    <xf numFmtId="3" fontId="13" fillId="0" borderId="5" xfId="0" applyNumberFormat="1" applyFont="1" applyFill="1" applyBorder="1" applyAlignment="1">
      <alignment horizontal="center"/>
    </xf>
    <xf numFmtId="3" fontId="14" fillId="3" borderId="5" xfId="0" applyNumberFormat="1" applyFont="1" applyFill="1" applyBorder="1" applyAlignment="1">
      <alignment horizontal="center"/>
    </xf>
    <xf numFmtId="3" fontId="13" fillId="0" borderId="0" xfId="0" applyNumberFormat="1" applyFont="1" applyBorder="1" applyAlignment="1">
      <alignment horizontal="center" wrapText="1"/>
    </xf>
    <xf numFmtId="3" fontId="13" fillId="3" borderId="5" xfId="0" applyNumberFormat="1" applyFont="1" applyFill="1" applyBorder="1" applyAlignment="1">
      <alignment horizontal="center"/>
    </xf>
    <xf numFmtId="165" fontId="13" fillId="0" borderId="0" xfId="1" applyNumberFormat="1" applyFont="1" applyBorder="1"/>
    <xf numFmtId="0" fontId="13" fillId="0" borderId="15" xfId="0" applyFont="1" applyFill="1" applyBorder="1"/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/>
    </xf>
    <xf numFmtId="3" fontId="4" fillId="2" borderId="0" xfId="0" applyNumberFormat="1" applyFont="1" applyFill="1"/>
    <xf numFmtId="3" fontId="4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3" fontId="0" fillId="0" borderId="2" xfId="0" applyNumberFormat="1" applyFill="1" applyBorder="1" applyAlignment="1">
      <alignment horizont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4" fillId="0" borderId="12" xfId="0" applyNumberFormat="1" applyFont="1" applyBorder="1"/>
    <xf numFmtId="3" fontId="4" fillId="0" borderId="13" xfId="0" applyNumberFormat="1" applyFont="1" applyBorder="1" applyAlignment="1">
      <alignment horizontal="center"/>
    </xf>
    <xf numFmtId="3" fontId="0" fillId="0" borderId="4" xfId="0" applyNumberFormat="1" applyFont="1" applyBorder="1"/>
    <xf numFmtId="3" fontId="0" fillId="0" borderId="0" xfId="0" applyNumberFormat="1" applyFill="1" applyAlignment="1">
      <alignment horizontal="center"/>
    </xf>
    <xf numFmtId="3" fontId="11" fillId="0" borderId="0" xfId="3" applyNumberFormat="1" applyFill="1"/>
    <xf numFmtId="3" fontId="0" fillId="4" borderId="4" xfId="0" applyNumberFormat="1" applyFont="1" applyFill="1" applyBorder="1"/>
    <xf numFmtId="3" fontId="0" fillId="0" borderId="4" xfId="0" applyNumberFormat="1" applyFont="1" applyFill="1" applyBorder="1"/>
    <xf numFmtId="3" fontId="0" fillId="3" borderId="4" xfId="0" applyNumberFormat="1" applyFont="1" applyFill="1" applyBorder="1"/>
    <xf numFmtId="3" fontId="13" fillId="0" borderId="5" xfId="0" applyNumberFormat="1" applyFont="1" applyBorder="1"/>
    <xf numFmtId="3" fontId="5" fillId="0" borderId="4" xfId="0" applyNumberFormat="1" applyFont="1" applyBorder="1"/>
    <xf numFmtId="3" fontId="4" fillId="0" borderId="0" xfId="0" quotePrefix="1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5" fillId="4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5" fillId="3" borderId="0" xfId="0" applyNumberFormat="1" applyFont="1" applyFill="1" applyBorder="1" applyAlignment="1">
      <alignment horizontal="right"/>
    </xf>
    <xf numFmtId="3" fontId="5" fillId="0" borderId="0" xfId="0" applyNumberFormat="1" applyFont="1" applyBorder="1"/>
    <xf numFmtId="3" fontId="5" fillId="4" borderId="0" xfId="0" applyNumberFormat="1" applyFont="1" applyFill="1" applyBorder="1"/>
    <xf numFmtId="3" fontId="5" fillId="0" borderId="0" xfId="0" applyNumberFormat="1" applyFont="1" applyFill="1" applyBorder="1"/>
    <xf numFmtId="3" fontId="5" fillId="3" borderId="0" xfId="0" applyNumberFormat="1" applyFont="1" applyFill="1" applyBorder="1"/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/>
    </xf>
    <xf numFmtId="3" fontId="8" fillId="2" borderId="2" xfId="0" applyNumberFormat="1" applyFont="1" applyFill="1" applyBorder="1" applyAlignment="1">
      <alignment horizontal="center"/>
    </xf>
    <xf numFmtId="3" fontId="8" fillId="2" borderId="3" xfId="0" applyNumberFormat="1" applyFont="1" applyFill="1" applyBorder="1" applyAlignment="1">
      <alignment horizontal="center"/>
    </xf>
    <xf numFmtId="3" fontId="9" fillId="0" borderId="7" xfId="0" applyNumberFormat="1" applyFont="1" applyBorder="1" applyAlignment="1">
      <alignment horizontal="center"/>
    </xf>
    <xf numFmtId="3" fontId="0" fillId="0" borderId="12" xfId="0" applyNumberFormat="1" applyBorder="1" applyAlignment="1">
      <alignment horizontal="center" wrapText="1"/>
    </xf>
    <xf numFmtId="3" fontId="0" fillId="0" borderId="14" xfId="0" applyNumberFormat="1" applyBorder="1" applyAlignment="1">
      <alignment horizontal="center" wrapText="1"/>
    </xf>
    <xf numFmtId="3" fontId="2" fillId="0" borderId="9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0" fillId="0" borderId="1" xfId="0" applyNumberFormat="1" applyFill="1" applyBorder="1" applyAlignment="1">
      <alignment horizontal="center" wrapText="1"/>
    </xf>
    <xf numFmtId="3" fontId="0" fillId="0" borderId="3" xfId="0" applyNumberFormat="1" applyFill="1" applyBorder="1" applyAlignment="1">
      <alignment horizont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3" fontId="5" fillId="0" borderId="7" xfId="0" applyNumberFormat="1" applyFont="1" applyBorder="1" applyAlignment="1">
      <alignment horizontal="center" vertical="center"/>
    </xf>
  </cellXfs>
  <cellStyles count="5">
    <cellStyle name="Comma" xfId="4" builtinId="3"/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CC"/>
      <color rgb="FF0000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22</xdr:row>
      <xdr:rowOff>88900</xdr:rowOff>
    </xdr:from>
    <xdr:to>
      <xdr:col>11</xdr:col>
      <xdr:colOff>0</xdr:colOff>
      <xdr:row>22</xdr:row>
      <xdr:rowOff>95250</xdr:rowOff>
    </xdr:to>
    <xdr:cxnSp macro="">
      <xdr:nvCxnSpPr>
        <xdr:cNvPr id="5" name="Straight Connector 4"/>
        <xdr:cNvCxnSpPr/>
      </xdr:nvCxnSpPr>
      <xdr:spPr>
        <a:xfrm>
          <a:off x="12700" y="4445000"/>
          <a:ext cx="9207500" cy="6350"/>
        </a:xfrm>
        <a:prstGeom prst="line">
          <a:avLst/>
        </a:prstGeom>
        <a:ln w="508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sacnpac1239@gmail.com" TargetMode="External"/><Relationship Id="rId18" Type="http://schemas.openxmlformats.org/officeDocument/2006/relationships/hyperlink" Target="mailto:cjgavigan177@gmail.com" TargetMode="External"/><Relationship Id="rId26" Type="http://schemas.openxmlformats.org/officeDocument/2006/relationships/hyperlink" Target="mailto:dmj7140@gmail.com" TargetMode="External"/><Relationship Id="rId39" Type="http://schemas.openxmlformats.org/officeDocument/2006/relationships/hyperlink" Target="mailto:tksheri1972@sbcglobal.net" TargetMode="External"/><Relationship Id="rId21" Type="http://schemas.openxmlformats.org/officeDocument/2006/relationships/hyperlink" Target="mailto:thauch@wi.rr.com" TargetMode="External"/><Relationship Id="rId34" Type="http://schemas.openxmlformats.org/officeDocument/2006/relationships/hyperlink" Target="mailto:juliesptflowers@att.net" TargetMode="External"/><Relationship Id="rId42" Type="http://schemas.openxmlformats.org/officeDocument/2006/relationships/hyperlink" Target="mailto:ladw@sbcglobal.net" TargetMode="External"/><Relationship Id="rId47" Type="http://schemas.openxmlformats.org/officeDocument/2006/relationships/hyperlink" Target="mailto:kitandmaryjane@yahoo.com" TargetMode="External"/><Relationship Id="rId50" Type="http://schemas.openxmlformats.org/officeDocument/2006/relationships/hyperlink" Target="mailto:lingissl@gmail.com" TargetMode="External"/><Relationship Id="rId55" Type="http://schemas.openxmlformats.org/officeDocument/2006/relationships/hyperlink" Target="mailto:nhkroll@sbcglobal.net" TargetMode="External"/><Relationship Id="rId63" Type="http://schemas.openxmlformats.org/officeDocument/2006/relationships/hyperlink" Target="mailto:dw.nielsen@yahoo.com" TargetMode="External"/><Relationship Id="rId68" Type="http://schemas.openxmlformats.org/officeDocument/2006/relationships/hyperlink" Target="mailto:tunie8420@aol.com" TargetMode="External"/><Relationship Id="rId76" Type="http://schemas.openxmlformats.org/officeDocument/2006/relationships/vmlDrawing" Target="../drawings/vmlDrawing1.vml"/><Relationship Id="rId7" Type="http://schemas.openxmlformats.org/officeDocument/2006/relationships/hyperlink" Target="mailto:carolann35@me.com" TargetMode="External"/><Relationship Id="rId71" Type="http://schemas.openxmlformats.org/officeDocument/2006/relationships/hyperlink" Target="mailto:gltingb@gmail.com" TargetMode="External"/><Relationship Id="rId2" Type="http://schemas.openxmlformats.org/officeDocument/2006/relationships/hyperlink" Target="mailto:kath131@wi.rr.com" TargetMode="External"/><Relationship Id="rId16" Type="http://schemas.openxmlformats.org/officeDocument/2006/relationships/hyperlink" Target="mailto:ericksoncarln@yahoo.com" TargetMode="External"/><Relationship Id="rId29" Type="http://schemas.openxmlformats.org/officeDocument/2006/relationships/hyperlink" Target="mailto:esmalik@msn.com" TargetMode="External"/><Relationship Id="rId11" Type="http://schemas.openxmlformats.org/officeDocument/2006/relationships/hyperlink" Target="mailto:dimae525@yahoo.com" TargetMode="External"/><Relationship Id="rId24" Type="http://schemas.openxmlformats.org/officeDocument/2006/relationships/hyperlink" Target="mailto:rholz1@wi.rr.com" TargetMode="External"/><Relationship Id="rId32" Type="http://schemas.openxmlformats.org/officeDocument/2006/relationships/hyperlink" Target="mailto:mckennacolin59@gmail.com" TargetMode="External"/><Relationship Id="rId37" Type="http://schemas.openxmlformats.org/officeDocument/2006/relationships/hyperlink" Target="mailto:rpetrach@gmail.com" TargetMode="External"/><Relationship Id="rId40" Type="http://schemas.openxmlformats.org/officeDocument/2006/relationships/hyperlink" Target="mailto:fmstrudrawa@aol.com" TargetMode="External"/><Relationship Id="rId45" Type="http://schemas.openxmlformats.org/officeDocument/2006/relationships/hyperlink" Target="mailto:linstolen@gmail.com" TargetMode="External"/><Relationship Id="rId53" Type="http://schemas.openxmlformats.org/officeDocument/2006/relationships/hyperlink" Target="mailto:pursonalityjen@gmail.com" TargetMode="External"/><Relationship Id="rId58" Type="http://schemas.openxmlformats.org/officeDocument/2006/relationships/hyperlink" Target="mailto:mohalleyfam@sbcglobal.net" TargetMode="External"/><Relationship Id="rId66" Type="http://schemas.openxmlformats.org/officeDocument/2006/relationships/hyperlink" Target="mailto:staceyr@wi.rr.com" TargetMode="External"/><Relationship Id="rId74" Type="http://schemas.openxmlformats.org/officeDocument/2006/relationships/hyperlink" Target="mailto:rmmiller10@hotmail.com" TargetMode="External"/><Relationship Id="rId5" Type="http://schemas.openxmlformats.org/officeDocument/2006/relationships/hyperlink" Target="mailto:jebaroot63@msn.com" TargetMode="External"/><Relationship Id="rId15" Type="http://schemas.openxmlformats.org/officeDocument/2006/relationships/hyperlink" Target="mailto:blerbe500@gmail.com" TargetMode="External"/><Relationship Id="rId23" Type="http://schemas.openxmlformats.org/officeDocument/2006/relationships/hyperlink" Target="mailto:ghholm2@aol.com" TargetMode="External"/><Relationship Id="rId28" Type="http://schemas.openxmlformats.org/officeDocument/2006/relationships/hyperlink" Target="mailto:leazer@wi.rr.com" TargetMode="External"/><Relationship Id="rId36" Type="http://schemas.openxmlformats.org/officeDocument/2006/relationships/hyperlink" Target="mailto:wmortensen@wi.rr.com" TargetMode="External"/><Relationship Id="rId49" Type="http://schemas.openxmlformats.org/officeDocument/2006/relationships/hyperlink" Target="mailto:klfritz1@gmail.com" TargetMode="External"/><Relationship Id="rId57" Type="http://schemas.openxmlformats.org/officeDocument/2006/relationships/hyperlink" Target="mailto:lindalewis099@gmail.com" TargetMode="External"/><Relationship Id="rId61" Type="http://schemas.openxmlformats.org/officeDocument/2006/relationships/hyperlink" Target="mailto:mnelson224@wi.rr.com" TargetMode="External"/><Relationship Id="rId10" Type="http://schemas.openxmlformats.org/officeDocument/2006/relationships/hyperlink" Target="mailto:dalton6466@gmail.com" TargetMode="External"/><Relationship Id="rId19" Type="http://schemas.openxmlformats.org/officeDocument/2006/relationships/hyperlink" Target="mailto:sandra.georgeson@yahoo.com" TargetMode="External"/><Relationship Id="rId31" Type="http://schemas.openxmlformats.org/officeDocument/2006/relationships/hyperlink" Target="mailto:matthew3239@sbcglobal.net" TargetMode="External"/><Relationship Id="rId44" Type="http://schemas.openxmlformats.org/officeDocument/2006/relationships/hyperlink" Target="mailto:bblickle@wi.rr.com" TargetMode="External"/><Relationship Id="rId52" Type="http://schemas.openxmlformats.org/officeDocument/2006/relationships/hyperlink" Target="mailto:crlpeppershaker@hol.com" TargetMode="External"/><Relationship Id="rId60" Type="http://schemas.openxmlformats.org/officeDocument/2006/relationships/hyperlink" Target="mailto:sdn313@hotmail.com" TargetMode="External"/><Relationship Id="rId65" Type="http://schemas.openxmlformats.org/officeDocument/2006/relationships/hyperlink" Target="mailto:hotgram57@hotmail.com" TargetMode="External"/><Relationship Id="rId73" Type="http://schemas.openxmlformats.org/officeDocument/2006/relationships/hyperlink" Target="mailto:lindalewis099@gmail.com" TargetMode="External"/><Relationship Id="rId4" Type="http://schemas.openxmlformats.org/officeDocument/2006/relationships/hyperlink" Target="mailto:davebackmann@gmail.com" TargetMode="External"/><Relationship Id="rId9" Type="http://schemas.openxmlformats.org/officeDocument/2006/relationships/hyperlink" Target="mailto:carrie.black2228@gmail.com" TargetMode="External"/><Relationship Id="rId14" Type="http://schemas.openxmlformats.org/officeDocument/2006/relationships/hyperlink" Target="mailto:ldoe@wi.rr.com" TargetMode="External"/><Relationship Id="rId22" Type="http://schemas.openxmlformats.org/officeDocument/2006/relationships/hyperlink" Target="mailto:jchewitt1943@gmail.com" TargetMode="External"/><Relationship Id="rId27" Type="http://schemas.openxmlformats.org/officeDocument/2006/relationships/hyperlink" Target="mailto:jkiemen1942@gmail.com" TargetMode="External"/><Relationship Id="rId30" Type="http://schemas.openxmlformats.org/officeDocument/2006/relationships/hyperlink" Target="mailto:mary.ann.mantey@gmail.com" TargetMode="External"/><Relationship Id="rId35" Type="http://schemas.openxmlformats.org/officeDocument/2006/relationships/hyperlink" Target="mailto:mitzymm@yahoo.com" TargetMode="External"/><Relationship Id="rId43" Type="http://schemas.openxmlformats.org/officeDocument/2006/relationships/hyperlink" Target="mailto:jeffwunderle@yahoo.com" TargetMode="External"/><Relationship Id="rId48" Type="http://schemas.openxmlformats.org/officeDocument/2006/relationships/hyperlink" Target="mailto:fcurran@wi.rr.com" TargetMode="External"/><Relationship Id="rId56" Type="http://schemas.openxmlformats.org/officeDocument/2006/relationships/hyperlink" Target="mailto:bettylewis4120@gmail.com" TargetMode="External"/><Relationship Id="rId64" Type="http://schemas.openxmlformats.org/officeDocument/2006/relationships/hyperlink" Target="mailto:extrovert.grampa@gmail.com" TargetMode="External"/><Relationship Id="rId69" Type="http://schemas.openxmlformats.org/officeDocument/2006/relationships/hyperlink" Target="mailto:tytrabert@att.net" TargetMode="External"/><Relationship Id="rId77" Type="http://schemas.openxmlformats.org/officeDocument/2006/relationships/comments" Target="../comments1.xml"/><Relationship Id="rId8" Type="http://schemas.openxmlformats.org/officeDocument/2006/relationships/hyperlink" Target="mailto:psbelanger8@att.net" TargetMode="External"/><Relationship Id="rId51" Type="http://schemas.openxmlformats.org/officeDocument/2006/relationships/hyperlink" Target="mailto:lynette.jacobson54@gmail.com" TargetMode="External"/><Relationship Id="rId72" Type="http://schemas.openxmlformats.org/officeDocument/2006/relationships/hyperlink" Target="mailto:conniegardner1@hotmail.com" TargetMode="External"/><Relationship Id="rId3" Type="http://schemas.openxmlformats.org/officeDocument/2006/relationships/hyperlink" Target="mailto:petvalhalla@sbcglobal.net" TargetMode="External"/><Relationship Id="rId12" Type="http://schemas.openxmlformats.org/officeDocument/2006/relationships/hyperlink" Target="mailto:chriscampbell1106@gmail.com" TargetMode="External"/><Relationship Id="rId17" Type="http://schemas.openxmlformats.org/officeDocument/2006/relationships/hyperlink" Target="mailto:conniegardner1@hotmail.com" TargetMode="External"/><Relationship Id="rId25" Type="http://schemas.openxmlformats.org/officeDocument/2006/relationships/hyperlink" Target="mailto:dubar@att.net" TargetMode="External"/><Relationship Id="rId33" Type="http://schemas.openxmlformats.org/officeDocument/2006/relationships/hyperlink" Target="mailto:jbknclm@att.net" TargetMode="External"/><Relationship Id="rId38" Type="http://schemas.openxmlformats.org/officeDocument/2006/relationships/hyperlink" Target="mailto:tjsaavedra@hotmail.com" TargetMode="External"/><Relationship Id="rId46" Type="http://schemas.openxmlformats.org/officeDocument/2006/relationships/hyperlink" Target="mailto:Kimsc31@aol.com" TargetMode="External"/><Relationship Id="rId59" Type="http://schemas.openxmlformats.org/officeDocument/2006/relationships/hyperlink" Target="mailto:vda0369@yahoo.com" TargetMode="External"/><Relationship Id="rId67" Type="http://schemas.openxmlformats.org/officeDocument/2006/relationships/hyperlink" Target="mailto:sjscore44@gmail.com" TargetMode="External"/><Relationship Id="rId20" Type="http://schemas.openxmlformats.org/officeDocument/2006/relationships/hyperlink" Target="mailto:jhgilby_72@yahoo.com" TargetMode="External"/><Relationship Id="rId41" Type="http://schemas.openxmlformats.org/officeDocument/2006/relationships/hyperlink" Target="mailto:mark.nancy1993@gmail.com" TargetMode="External"/><Relationship Id="rId54" Type="http://schemas.openxmlformats.org/officeDocument/2006/relationships/hyperlink" Target="mailto:jkoechell@att.net" TargetMode="External"/><Relationship Id="rId62" Type="http://schemas.openxmlformats.org/officeDocument/2006/relationships/hyperlink" Target="mailto:grmagne9@ww.rr.com" TargetMode="External"/><Relationship Id="rId70" Type="http://schemas.openxmlformats.org/officeDocument/2006/relationships/hyperlink" Target="mailto:cbvacek@hotmail.com" TargetMode="External"/><Relationship Id="rId75" Type="http://schemas.openxmlformats.org/officeDocument/2006/relationships/printerSettings" Target="../printerSettings/printerSettings2.bin"/><Relationship Id="rId1" Type="http://schemas.openxmlformats.org/officeDocument/2006/relationships/hyperlink" Target="mailto:mmcorkdork@gmail.com" TargetMode="External"/><Relationship Id="rId6" Type="http://schemas.openxmlformats.org/officeDocument/2006/relationships/hyperlink" Target="mailto:abaumga08@yahoo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showGridLines="0" workbookViewId="0">
      <selection activeCell="C12" sqref="C12"/>
    </sheetView>
  </sheetViews>
  <sheetFormatPr defaultRowHeight="14.5" x14ac:dyDescent="0.35"/>
  <cols>
    <col min="1" max="1" width="27.6328125" customWidth="1"/>
    <col min="2" max="2" width="9.81640625" customWidth="1"/>
    <col min="3" max="4" width="10.1796875" customWidth="1"/>
    <col min="5" max="5" width="9.6328125" customWidth="1"/>
    <col min="7" max="7" width="14.453125" customWidth="1"/>
    <col min="8" max="8" width="9.36328125" customWidth="1"/>
    <col min="9" max="9" width="10" customWidth="1"/>
  </cols>
  <sheetData>
    <row r="1" spans="1:8" ht="15" thickBot="1" x14ac:dyDescent="0.4"/>
    <row r="2" spans="1:8" ht="18.5" x14ac:dyDescent="0.45">
      <c r="A2" s="183" t="s">
        <v>524</v>
      </c>
      <c r="B2" s="184"/>
      <c r="C2" s="184"/>
      <c r="D2" s="184"/>
      <c r="E2" s="184"/>
      <c r="F2" s="184"/>
      <c r="G2" s="184"/>
      <c r="H2" s="185"/>
    </row>
    <row r="3" spans="1:8" x14ac:dyDescent="0.35">
      <c r="A3" s="2"/>
      <c r="B3" s="12" t="s">
        <v>526</v>
      </c>
      <c r="C3" s="12" t="s">
        <v>6</v>
      </c>
      <c r="D3" s="38" t="s">
        <v>521</v>
      </c>
      <c r="E3" s="3"/>
      <c r="F3" s="3"/>
      <c r="G3" s="3"/>
      <c r="H3" s="6"/>
    </row>
    <row r="4" spans="1:8" x14ac:dyDescent="0.35">
      <c r="A4" s="2" t="s">
        <v>61</v>
      </c>
      <c r="B4" s="18">
        <f>COUNTIF(Data!R$4:R233,"S")</f>
        <v>42</v>
      </c>
      <c r="C4" s="60">
        <f>SUMIF(Data!R$4:R233,"S",Data!P$4:P233)</f>
        <v>170740</v>
      </c>
      <c r="D4" s="108">
        <f>+C4/C$9</f>
        <v>0.43616205998058549</v>
      </c>
      <c r="E4" s="3" t="s">
        <v>58</v>
      </c>
      <c r="F4" s="3"/>
      <c r="G4" s="3"/>
      <c r="H4" s="6"/>
    </row>
    <row r="5" spans="1:8" x14ac:dyDescent="0.35">
      <c r="A5" s="2" t="s">
        <v>62</v>
      </c>
      <c r="B5" s="18">
        <f>COUNTIF(Data!R$4:R233,"I")</f>
        <v>29</v>
      </c>
      <c r="C5" s="60">
        <f>SUMIF(Data!R$4:R233,"I",Data!P$4:P233)</f>
        <v>86760</v>
      </c>
      <c r="D5" s="108">
        <f>+C5/C$9</f>
        <v>0.2216318397792878</v>
      </c>
      <c r="E5" s="3" t="str">
        <f>+"Increased pledge from 2022 (increase = $"&amp;ROUND(SUMIF(Data!R$4:R233,"I",Data!Q$4:Q233),0)&amp;")"</f>
        <v>Increased pledge from 2022 (increase = $12058)</v>
      </c>
      <c r="F5" s="3"/>
      <c r="G5" s="3"/>
      <c r="H5" s="6"/>
    </row>
    <row r="6" spans="1:8" x14ac:dyDescent="0.35">
      <c r="A6" s="2" t="s">
        <v>63</v>
      </c>
      <c r="B6" s="18">
        <f>COUNTIF(Data!R$4:R233,"N")</f>
        <v>13</v>
      </c>
      <c r="C6" s="60">
        <f>SUMIF(Data!R$4:R233,"N",Data!P$4:P233)</f>
        <v>32880</v>
      </c>
      <c r="D6" s="108">
        <f>+C6/C$9</f>
        <v>8.3993256015940321E-2</v>
      </c>
      <c r="E6" s="3" t="s">
        <v>57</v>
      </c>
      <c r="F6" s="3"/>
      <c r="G6" s="3"/>
      <c r="H6" s="6"/>
    </row>
    <row r="7" spans="1:8" x14ac:dyDescent="0.35">
      <c r="A7" s="2" t="s">
        <v>64</v>
      </c>
      <c r="B7" s="18">
        <f>COUNTIF(Data!R$4:R233,"D")</f>
        <v>7</v>
      </c>
      <c r="C7" s="60">
        <f>SUMIF(Data!R$4:R233,"D",Data!P$4:P233)</f>
        <v>15180</v>
      </c>
      <c r="D7" s="108">
        <f>+C7/C$9</f>
        <v>3.8777908343125736E-2</v>
      </c>
      <c r="E7" s="3" t="str">
        <f>+"Decreased pledge from 2022 (decrease = $"&amp;ABS(ROUND(SUMIF(Data!R$4:R233,"D",Data!Q$4:Q233),0))&amp;")"</f>
        <v>Decreased pledge from 2022 (decrease = $4225)</v>
      </c>
      <c r="F7" s="3"/>
      <c r="G7" s="3"/>
      <c r="H7" s="6"/>
    </row>
    <row r="8" spans="1:8" x14ac:dyDescent="0.35">
      <c r="A8" s="2" t="s">
        <v>517</v>
      </c>
      <c r="B8" s="58">
        <f>COUNTIF(Data!R$4:R233,"X")+COUNTIF(Data!R$4:R233,"E")</f>
        <v>62</v>
      </c>
      <c r="C8" s="60">
        <f>SUMIF(Data!R$4:R233,"X",Data!O$4:O233)+SUMIF(Data!R$4:R233,"E",Data!O$4:O233)</f>
        <v>85900</v>
      </c>
      <c r="D8" s="108">
        <f>+C8/C$9</f>
        <v>0.21943493588106064</v>
      </c>
      <c r="E8" s="3"/>
      <c r="F8" s="3"/>
      <c r="G8" s="3"/>
      <c r="H8" s="6"/>
    </row>
    <row r="9" spans="1:8" ht="15" thickBot="1" x14ac:dyDescent="0.4">
      <c r="A9" s="9" t="s">
        <v>59</v>
      </c>
      <c r="B9" s="62">
        <f>SUM(B4:B8)</f>
        <v>153</v>
      </c>
      <c r="C9" s="63">
        <f>SUM(C4:C8)</f>
        <v>391460</v>
      </c>
      <c r="D9" s="109">
        <f>SUM(D4:D8)</f>
        <v>1</v>
      </c>
      <c r="E9" s="29"/>
      <c r="F9" s="29"/>
      <c r="G9" s="29"/>
      <c r="H9" s="30"/>
    </row>
    <row r="10" spans="1:8" ht="15" thickBot="1" x14ac:dyDescent="0.4"/>
    <row r="11" spans="1:8" x14ac:dyDescent="0.35">
      <c r="A11" s="118"/>
      <c r="B11" s="119">
        <v>2021</v>
      </c>
      <c r="C11" s="119">
        <v>2022</v>
      </c>
      <c r="D11" s="120">
        <v>2023</v>
      </c>
    </row>
    <row r="12" spans="1:8" x14ac:dyDescent="0.35">
      <c r="A12" s="2" t="s">
        <v>2</v>
      </c>
      <c r="B12" s="113">
        <f>COUNTIF(Data!D$4:D233,"&gt;0")</f>
        <v>189</v>
      </c>
      <c r="C12" s="58">
        <f>COUNTIF(Data!H$4:H233,"&gt;0")+18</f>
        <v>117</v>
      </c>
      <c r="D12" s="114">
        <f>+B9</f>
        <v>153</v>
      </c>
    </row>
    <row r="13" spans="1:8" ht="15" thickBot="1" x14ac:dyDescent="0.4">
      <c r="A13" s="115" t="s">
        <v>523</v>
      </c>
      <c r="B13" s="116">
        <f>+Data!D234</f>
        <v>452163.64</v>
      </c>
      <c r="C13" s="117">
        <f>+Data!H234+84102</f>
        <v>204443.71698113208</v>
      </c>
      <c r="D13" s="121">
        <f>+C9</f>
        <v>391460</v>
      </c>
    </row>
    <row r="14" spans="1:8" ht="15" thickBot="1" x14ac:dyDescent="0.4"/>
    <row r="15" spans="1:8" ht="15" thickBot="1" x14ac:dyDescent="0.4">
      <c r="C15" s="123" t="s">
        <v>525</v>
      </c>
      <c r="D15" s="122">
        <v>400000</v>
      </c>
      <c r="E15" t="s">
        <v>527</v>
      </c>
    </row>
  </sheetData>
  <mergeCells count="1">
    <mergeCell ref="A2:H2"/>
  </mergeCells>
  <pageMargins left="0.7" right="0.7" top="0.5" bottom="0.5" header="0.3" footer="0.3"/>
  <pageSetup orientation="landscape" horizontalDpi="0" verticalDpi="0" r:id="rId1"/>
  <headerFoot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238"/>
  <sheetViews>
    <sheetView tabSelected="1" topLeftCell="A2" workbookViewId="0">
      <pane xSplit="3" ySplit="2" topLeftCell="L232" activePane="bottomRight" state="frozen"/>
      <selection activeCell="A2" sqref="A2"/>
      <selection pane="topRight" activeCell="C2" sqref="C2"/>
      <selection pane="bottomLeft" activeCell="A4" sqref="A4"/>
      <selection pane="bottomRight" activeCell="O237" sqref="O237"/>
    </sheetView>
  </sheetViews>
  <sheetFormatPr defaultRowHeight="14.5" outlineLevelCol="1" x14ac:dyDescent="0.35"/>
  <cols>
    <col min="1" max="1" width="4.26953125" style="157" customWidth="1"/>
    <col min="2" max="2" width="14.453125" style="1" customWidth="1"/>
    <col min="3" max="3" width="18.36328125" style="1" customWidth="1"/>
    <col min="4" max="4" width="8.7265625" style="1" customWidth="1"/>
    <col min="5" max="11" width="8.7265625" style="1" customWidth="1" outlineLevel="1"/>
    <col min="12" max="16" width="8.7265625" style="1"/>
    <col min="17" max="18" width="8.7265625" style="150"/>
    <col min="19" max="19" width="10.6328125" style="150" bestFit="1" customWidth="1"/>
    <col min="20" max="24" width="10.6328125" style="150" customWidth="1"/>
    <col min="25" max="25" width="26" style="1" customWidth="1"/>
    <col min="26" max="26" width="27.54296875" style="68" customWidth="1"/>
    <col min="27" max="27" width="28.6328125" style="68" customWidth="1"/>
    <col min="28" max="28" width="15" style="68" customWidth="1"/>
    <col min="29" max="29" width="6.36328125" style="69" customWidth="1"/>
    <col min="30" max="30" width="11" style="70" customWidth="1"/>
    <col min="31" max="16384" width="8.7265625" style="1"/>
  </cols>
  <sheetData>
    <row r="1" spans="1:30" ht="24" thickBot="1" x14ac:dyDescent="0.6">
      <c r="B1" s="189" t="s">
        <v>365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39"/>
      <c r="T1" s="139"/>
      <c r="U1" s="139"/>
      <c r="V1" s="139"/>
      <c r="W1" s="139"/>
      <c r="X1" s="139"/>
      <c r="Y1" s="139"/>
    </row>
    <row r="2" spans="1:30" ht="42.5" customHeight="1" thickBot="1" x14ac:dyDescent="0.4">
      <c r="B2" s="192" t="s">
        <v>2</v>
      </c>
      <c r="C2" s="193"/>
      <c r="D2" s="190" t="s">
        <v>3</v>
      </c>
      <c r="E2" s="196">
        <v>2022</v>
      </c>
      <c r="F2" s="197"/>
      <c r="G2" s="198"/>
      <c r="H2" s="196">
        <v>2023</v>
      </c>
      <c r="I2" s="197"/>
      <c r="J2" s="197"/>
      <c r="K2" s="197"/>
      <c r="L2" s="198"/>
      <c r="M2" s="196">
        <v>2024</v>
      </c>
      <c r="N2" s="197"/>
      <c r="O2" s="197"/>
      <c r="P2" s="198"/>
      <c r="Q2" s="194" t="s">
        <v>644</v>
      </c>
      <c r="R2" s="195"/>
      <c r="S2" s="162"/>
      <c r="T2" s="162"/>
      <c r="U2" s="162"/>
      <c r="V2" s="162"/>
      <c r="W2" s="162"/>
      <c r="X2" s="162"/>
      <c r="Y2" s="186" t="s">
        <v>395</v>
      </c>
      <c r="Z2" s="187"/>
      <c r="AA2" s="187"/>
      <c r="AB2" s="187"/>
      <c r="AC2" s="187"/>
      <c r="AD2" s="188"/>
    </row>
    <row r="3" spans="1:30" s="83" customFormat="1" ht="116.5" thickBot="1" x14ac:dyDescent="0.4">
      <c r="A3" s="158" t="s">
        <v>649</v>
      </c>
      <c r="B3" s="75" t="s">
        <v>0</v>
      </c>
      <c r="C3" s="76" t="s">
        <v>1</v>
      </c>
      <c r="D3" s="191"/>
      <c r="E3" s="77" t="s">
        <v>4</v>
      </c>
      <c r="F3" s="78" t="s">
        <v>5</v>
      </c>
      <c r="G3" s="79" t="s">
        <v>47</v>
      </c>
      <c r="H3" s="77" t="s">
        <v>4</v>
      </c>
      <c r="I3" s="78" t="s">
        <v>9</v>
      </c>
      <c r="J3" s="202" t="s">
        <v>681</v>
      </c>
      <c r="K3" s="84" t="s">
        <v>509</v>
      </c>
      <c r="L3" s="80" t="s">
        <v>508</v>
      </c>
      <c r="M3" s="77" t="s">
        <v>4</v>
      </c>
      <c r="N3" s="78" t="s">
        <v>9</v>
      </c>
      <c r="O3" s="84" t="s">
        <v>509</v>
      </c>
      <c r="P3" s="80" t="s">
        <v>508</v>
      </c>
      <c r="Q3" s="147" t="s">
        <v>6</v>
      </c>
      <c r="R3" s="148" t="s">
        <v>10</v>
      </c>
      <c r="S3" s="163" t="s">
        <v>671</v>
      </c>
      <c r="T3" s="163" t="s">
        <v>679</v>
      </c>
      <c r="U3" s="163" t="s">
        <v>680</v>
      </c>
      <c r="V3" s="163" t="s">
        <v>686</v>
      </c>
      <c r="W3" s="163" t="s">
        <v>678</v>
      </c>
      <c r="X3" s="163" t="s">
        <v>673</v>
      </c>
      <c r="Y3" s="144" t="s">
        <v>563</v>
      </c>
      <c r="Z3" s="81" t="s">
        <v>394</v>
      </c>
      <c r="AA3" s="81" t="s">
        <v>396</v>
      </c>
      <c r="AB3" s="81" t="s">
        <v>397</v>
      </c>
      <c r="AC3" s="81" t="s">
        <v>398</v>
      </c>
      <c r="AD3" s="82" t="s">
        <v>399</v>
      </c>
    </row>
    <row r="4" spans="1:30" x14ac:dyDescent="0.35">
      <c r="B4" s="28" t="s">
        <v>7</v>
      </c>
      <c r="C4" s="4" t="s">
        <v>8</v>
      </c>
      <c r="D4" s="13">
        <v>624</v>
      </c>
      <c r="E4" s="22">
        <v>624</v>
      </c>
      <c r="F4" s="13">
        <v>456</v>
      </c>
      <c r="G4" s="27">
        <f t="shared" ref="G4:G11" si="0">IF(E4=0,F4,IF(AND(F4=0,J4="A"),E4,IF(F4&gt;E4,F4, IF(F4/E4&gt;0.73,E4,F4))))</f>
        <v>624</v>
      </c>
      <c r="H4" s="22">
        <v>24</v>
      </c>
      <c r="I4" s="26" t="s">
        <v>46</v>
      </c>
      <c r="J4" s="13">
        <v>624</v>
      </c>
      <c r="K4" s="13"/>
      <c r="L4" s="27">
        <f>IF(I4="",0,IF(K4&gt;0,0,IF(I4="A",H4,IF(I4="M",H4*12,IF(I4="W",H4*(Lookups!$B$9+1),IF(I4="B",H4*(+Lookups!$B$10),IF(I4="S",H4*2,IF(AND(H4=0,K4&gt;0),K4,"ERROR"))))))))</f>
        <v>624</v>
      </c>
      <c r="M4" s="22"/>
      <c r="N4" s="26"/>
      <c r="O4" s="13">
        <v>500</v>
      </c>
      <c r="P4" s="27">
        <f>IF(M4="",0,IF(O4&gt;0,0,IF(N4="A",M4,IF(N4="M",M4*12,IF(N4="W",M4*Lookups!B$9,IF(N4="B",M4*+Lookups!B$10,IF(N4="S",M4*2,IF(AND(M4=0,O4&gt;0),O4,"ERROR"))))))))</f>
        <v>0</v>
      </c>
      <c r="Q4" s="149" t="str">
        <f>IF(OR(AND(P4=0,H4=0),O4&gt;0),"",IF(AND(I4="W",N4="W"),ROUND(P4-(H4*Lookups!$B$9),0),ROUND(+P4-L4,0)))</f>
        <v/>
      </c>
      <c r="R4" s="91" t="str">
        <f t="shared" ref="R4:R12" si="1">IF(O4&gt;0,"E",IF(Q4="","",IF(Q4=0,"S",IF(AND(Q4&gt;0,NOT(H4=0)),"I",IF(AND(Q4&gt;0,H4=0),"N",IF(Q4&lt;0,"D","ERROR"))))))</f>
        <v>E</v>
      </c>
      <c r="S4" s="164">
        <v>96</v>
      </c>
      <c r="T4" s="179">
        <f>IF(AND(S4&gt;0,J4&gt;0),O4,"")</f>
        <v>500</v>
      </c>
      <c r="U4" s="13" t="str">
        <f>IF(AND(S4&lt;1,J4&gt;0),O4,"")</f>
        <v/>
      </c>
      <c r="V4" s="179" t="str">
        <f>IF((L4+P4+D4+O4)=0,S4*6,"")</f>
        <v/>
      </c>
      <c r="W4" s="13" t="str">
        <f t="shared" ref="W4:W42" si="2">IF(X4="","",P4)</f>
        <v/>
      </c>
      <c r="X4" s="13"/>
      <c r="Y4" s="140"/>
      <c r="AA4" s="71"/>
    </row>
    <row r="5" spans="1:30" x14ac:dyDescent="0.35">
      <c r="B5" s="28" t="s">
        <v>7</v>
      </c>
      <c r="C5" s="4" t="s">
        <v>651</v>
      </c>
      <c r="D5" s="13"/>
      <c r="E5" s="22"/>
      <c r="F5" s="13"/>
      <c r="G5" s="27">
        <f t="shared" ref="G5" si="3">IF(E5=0,F5,IF(AND(F5=0,J5="A"),E5,IF(F5&gt;E5,F5, IF(F5/E5&gt;0.73,E5,F5))))</f>
        <v>0</v>
      </c>
      <c r="H5" s="22"/>
      <c r="I5" s="26"/>
      <c r="J5" s="13">
        <v>150</v>
      </c>
      <c r="K5" s="13"/>
      <c r="L5" s="27">
        <f>IF(I5="",0,IF(K5&gt;0,0,IF(I5="A",H5,IF(I5="M",H5*12,IF(I5="W",H5*(Lookups!$B$9+1),IF(I5="B",H5*(+Lookups!$B$10),IF(I5="S",H5*2,IF(AND(H5=0,K5&gt;0),K5,"ERROR"))))))))</f>
        <v>0</v>
      </c>
      <c r="M5" s="22"/>
      <c r="N5" s="26"/>
      <c r="O5" s="13">
        <v>150</v>
      </c>
      <c r="P5" s="27">
        <f>IF(M5="",0,IF(O5&gt;0,0,IF(N5="A",M5,IF(N5="M",M5*12,IF(N5="W",M5*Lookups!B$9,IF(N5="B",M5*+Lookups!B$10,IF(N5="S",M5*2,IF(AND(M5=0,O5&gt;0),O5,"ERROR"))))))))</f>
        <v>0</v>
      </c>
      <c r="Q5" s="149" t="str">
        <f>IF(OR(AND(P5=0,H5=0),O5&gt;0),"",IF(AND(I5="W",N5="W"),ROUND(P5-(H5*Lookups!$B$9),0),ROUND(+P5-L5,0)))</f>
        <v/>
      </c>
      <c r="R5" s="91" t="str">
        <f t="shared" ref="R5" si="4">IF(O5&gt;0,"E",IF(Q5="","",IF(Q5=0,"S",IF(AND(Q5&gt;0,NOT(H5=0)),"I",IF(AND(Q5&gt;0,H5=0),"N",IF(Q5&lt;0,"D","ERROR"))))))</f>
        <v>E</v>
      </c>
      <c r="S5" s="24">
        <v>50</v>
      </c>
      <c r="T5" s="179">
        <f t="shared" ref="T5:T69" si="5">IF(AND(S5&gt;0,J5&gt;0),O5,"")</f>
        <v>150</v>
      </c>
      <c r="U5" s="175" t="str">
        <f t="shared" ref="U5:U69" si="6">IF(AND(S5&lt;1,J5&gt;0),O5,"")</f>
        <v/>
      </c>
      <c r="V5" s="179" t="str">
        <f t="shared" ref="V5:V68" si="7">IF((L5+P5+D5+O5)=0,S5*6,"")</f>
        <v/>
      </c>
      <c r="W5" s="13" t="str">
        <f t="shared" si="2"/>
        <v/>
      </c>
      <c r="X5" s="13"/>
      <c r="Y5" s="140"/>
    </row>
    <row r="6" spans="1:30" x14ac:dyDescent="0.35">
      <c r="A6" s="157" t="s">
        <v>650</v>
      </c>
      <c r="B6" s="28" t="s">
        <v>238</v>
      </c>
      <c r="C6" s="4" t="s">
        <v>239</v>
      </c>
      <c r="D6" s="13">
        <v>100</v>
      </c>
      <c r="E6" s="22"/>
      <c r="F6" s="13">
        <v>40</v>
      </c>
      <c r="G6" s="27">
        <f t="shared" si="0"/>
        <v>40</v>
      </c>
      <c r="H6" s="22"/>
      <c r="I6" s="26"/>
      <c r="J6" s="13"/>
      <c r="K6" s="13"/>
      <c r="L6" s="27">
        <f>IF(I6="",0,IF(K6&gt;0,0,IF(I6="A",H6,IF(I6="M",H6*12,IF(I6="W",H6*(Lookups!$B$9+1),IF(I6="B",H6*(+Lookups!$B$10),IF(I6="S",H6*2,IF(AND(H6=0,K6&gt;0),K6,"ERROR"))))))))</f>
        <v>0</v>
      </c>
      <c r="M6" s="22"/>
      <c r="N6" s="26"/>
      <c r="O6" s="13"/>
      <c r="P6" s="27">
        <f>IF(M6="",0,IF(O6&gt;0,0,IF(N6="A",M6,IF(N6="M",M6*12,IF(N6="W",M6*Lookups!B$9,IF(N6="B",M6*+Lookups!B$10,IF(N6="S",M6*2,IF(AND(M6=0,O6&gt;0),O6,"ERROR"))))))))</f>
        <v>0</v>
      </c>
      <c r="Q6" s="149" t="str">
        <f>IF(OR(AND(P6=0,H6=0),O6&gt;0),"",IF(AND(I6="W",N6="W"),ROUND(P6-(H6*Lookups!$B$9),0),ROUND(+P6-L6,0)))</f>
        <v/>
      </c>
      <c r="R6" s="91" t="str">
        <f t="shared" si="1"/>
        <v/>
      </c>
      <c r="S6" s="24"/>
      <c r="T6" s="179" t="str">
        <f t="shared" si="5"/>
        <v/>
      </c>
      <c r="U6" s="175" t="str">
        <f t="shared" si="6"/>
        <v/>
      </c>
      <c r="V6" s="175" t="str">
        <f t="shared" si="7"/>
        <v/>
      </c>
      <c r="W6" s="13" t="str">
        <f t="shared" si="2"/>
        <v/>
      </c>
      <c r="X6" s="13"/>
      <c r="Y6" s="140"/>
    </row>
    <row r="7" spans="1:30" x14ac:dyDescent="0.35">
      <c r="A7" s="157" t="s">
        <v>650</v>
      </c>
      <c r="B7" s="127" t="s">
        <v>238</v>
      </c>
      <c r="C7" s="128" t="s">
        <v>240</v>
      </c>
      <c r="D7" s="129">
        <v>2120</v>
      </c>
      <c r="E7" s="130"/>
      <c r="F7" s="129">
        <v>1560</v>
      </c>
      <c r="G7" s="131">
        <f t="shared" si="0"/>
        <v>1560</v>
      </c>
      <c r="H7" s="130"/>
      <c r="I7" s="132"/>
      <c r="J7" s="129"/>
      <c r="K7" s="129"/>
      <c r="L7" s="131">
        <f>IF(I7="",0,IF(K7&gt;0,0,IF(I7="A",H7,IF(I7="M",H7*12,IF(I7="W",H7*(Lookups!$B$9+1),IF(I7="B",H7*(+Lookups!$B$10),IF(I7="S",H7*2,IF(AND(H7=0,K7&gt;0),K7,"ERROR"))))))))</f>
        <v>0</v>
      </c>
      <c r="M7" s="130"/>
      <c r="N7" s="132"/>
      <c r="O7" s="129"/>
      <c r="P7" s="99">
        <f>IF(M7="",0,IF(O7&gt;0,0,IF(N7="A",M7,IF(N7="M",M7*12,IF(N7="W",M7*Lookups!B$9,IF(N7="B",M7*+Lookups!B$10,IF(N7="S",M7*2,IF(AND(M7=0,O7&gt;0),O7,"ERROR"))))))))</f>
        <v>0</v>
      </c>
      <c r="Q7" s="101" t="str">
        <f>IF(OR(AND(P7=0,H7=0),O7&gt;0),"",IF(AND(I7="W",N7="W"),ROUND(P7-(H7*Lookups!$B$9),0),ROUND(+P7-L7,0)))</f>
        <v/>
      </c>
      <c r="R7" s="102" t="str">
        <f t="shared" si="1"/>
        <v/>
      </c>
      <c r="S7" s="146"/>
      <c r="T7" s="180" t="str">
        <f t="shared" si="5"/>
        <v/>
      </c>
      <c r="U7" s="176" t="str">
        <f t="shared" si="6"/>
        <v/>
      </c>
      <c r="V7" s="176" t="str">
        <f t="shared" si="7"/>
        <v/>
      </c>
      <c r="W7" s="129" t="str">
        <f t="shared" si="2"/>
        <v/>
      </c>
      <c r="X7" s="129"/>
      <c r="Y7" s="141"/>
      <c r="Z7" s="133" t="s">
        <v>522</v>
      </c>
      <c r="AA7" s="133"/>
      <c r="AB7" s="133"/>
      <c r="AC7" s="134"/>
      <c r="AD7" s="135"/>
    </row>
    <row r="8" spans="1:30" x14ac:dyDescent="0.35">
      <c r="B8" s="28" t="s">
        <v>238</v>
      </c>
      <c r="C8" s="4" t="s">
        <v>241</v>
      </c>
      <c r="D8" s="13">
        <v>6500</v>
      </c>
      <c r="E8" s="22"/>
      <c r="F8" s="13">
        <v>5400</v>
      </c>
      <c r="G8" s="27">
        <f t="shared" si="0"/>
        <v>5400</v>
      </c>
      <c r="H8" s="22"/>
      <c r="I8" s="26"/>
      <c r="J8" s="13"/>
      <c r="K8" s="13">
        <v>5400</v>
      </c>
      <c r="L8" s="27">
        <f>IF(I8="",0,IF(K8&gt;0,0,IF(I8="A",H8,IF(I8="M",H8*12,IF(I8="W",H8*(Lookups!$B$9+1),IF(I8="B",H8*(+Lookups!$B$10),IF(I8="S",H8*2,IF(AND(H8=0,K8&gt;0),K8,"ERROR"))))))))</f>
        <v>0</v>
      </c>
      <c r="M8" s="22"/>
      <c r="N8" s="26"/>
      <c r="O8" s="13"/>
      <c r="P8" s="27">
        <f>IF(M8="",0,IF(O8&gt;0,0,IF(N8="A",M8,IF(N8="M",M8*12,IF(N8="W",M8*Lookups!B$9,IF(N8="B",M8*+Lookups!B$10,IF(N8="S",M8*2,IF(AND(M8=0,O8&gt;0),O8,"ERROR"))))))))</f>
        <v>0</v>
      </c>
      <c r="Q8" s="149" t="str">
        <f>IF(OR(AND(P8=0,H8=0),O8&gt;0),"",IF(AND(I8="W",N8="W"),ROUND(P8-(H8*Lookups!$B$9),0),ROUND(+P8-L8,0)))</f>
        <v/>
      </c>
      <c r="R8" s="91" t="str">
        <f t="shared" si="1"/>
        <v/>
      </c>
      <c r="S8" s="24"/>
      <c r="T8" s="179" t="str">
        <f t="shared" si="5"/>
        <v/>
      </c>
      <c r="U8" s="175" t="str">
        <f t="shared" si="6"/>
        <v/>
      </c>
      <c r="V8" s="175" t="str">
        <f t="shared" si="7"/>
        <v/>
      </c>
      <c r="W8" s="13" t="str">
        <f t="shared" si="2"/>
        <v/>
      </c>
      <c r="X8" s="13"/>
      <c r="Y8" s="140"/>
    </row>
    <row r="9" spans="1:30" x14ac:dyDescent="0.35">
      <c r="B9" s="28" t="s">
        <v>11</v>
      </c>
      <c r="C9" s="4" t="s">
        <v>12</v>
      </c>
      <c r="D9" s="13">
        <v>1400</v>
      </c>
      <c r="E9" s="22">
        <v>1540</v>
      </c>
      <c r="F9" s="13">
        <v>725</v>
      </c>
      <c r="G9" s="27">
        <f t="shared" si="0"/>
        <v>725</v>
      </c>
      <c r="H9" s="22">
        <v>1500</v>
      </c>
      <c r="I9" s="26" t="s">
        <v>40</v>
      </c>
      <c r="J9" s="13">
        <v>1600</v>
      </c>
      <c r="K9" s="13"/>
      <c r="L9" s="27">
        <f>IF(I9="",0,IF(K9&gt;0,0,IF(I9="A",H9,IF(I9="M",H9*12,IF(I9="W",H9*(Lookups!$B$9+1),IF(I9="B",H9*(+Lookups!$B$10),IF(I9="S",H9*2,IF(AND(H9=0,K9&gt;0),K9,"ERROR"))))))))</f>
        <v>1500</v>
      </c>
      <c r="M9" s="22">
        <v>1500</v>
      </c>
      <c r="N9" s="26" t="s">
        <v>40</v>
      </c>
      <c r="O9" s="13"/>
      <c r="P9" s="172">
        <f>IF(M9="",0,IF(O9&gt;0,0,IF(N9="A",M9,IF(N9="M",M9*12,IF(N9="W",M9*Lookups!B$9,IF(N9="B",M9*+Lookups!B$10,IF(N9="S",M9*2,IF(AND(M9=0,O9&gt;0),O9,"ERROR"))))))))</f>
        <v>1500</v>
      </c>
      <c r="Q9" s="149">
        <f>IF(OR(AND(P9=0,H9=0),O9&gt;0),"",IF(AND(I9="W",N9="W"),ROUND(P9-(H9*Lookups!$B$9),0),ROUND(+P9-L9,0)))</f>
        <v>0</v>
      </c>
      <c r="R9" s="91" t="str">
        <f t="shared" si="1"/>
        <v>S</v>
      </c>
      <c r="S9" s="24"/>
      <c r="T9" s="179" t="str">
        <f t="shared" si="5"/>
        <v/>
      </c>
      <c r="U9" s="175">
        <f t="shared" si="6"/>
        <v>0</v>
      </c>
      <c r="V9" s="175" t="str">
        <f t="shared" si="7"/>
        <v/>
      </c>
      <c r="W9" s="13" t="str">
        <f t="shared" si="2"/>
        <v/>
      </c>
      <c r="X9" s="13"/>
      <c r="Y9" s="140"/>
      <c r="Z9" s="67" t="s">
        <v>407</v>
      </c>
      <c r="AA9" s="68" t="s">
        <v>406</v>
      </c>
      <c r="AB9" s="68" t="s">
        <v>408</v>
      </c>
      <c r="AC9" s="69" t="s">
        <v>403</v>
      </c>
      <c r="AD9" s="70">
        <v>53126</v>
      </c>
    </row>
    <row r="10" spans="1:30" x14ac:dyDescent="0.35">
      <c r="B10" s="28" t="s">
        <v>11</v>
      </c>
      <c r="C10" s="4" t="s">
        <v>242</v>
      </c>
      <c r="D10" s="13">
        <v>2000</v>
      </c>
      <c r="E10" s="22"/>
      <c r="F10" s="13">
        <v>3000</v>
      </c>
      <c r="G10" s="27">
        <f t="shared" si="0"/>
        <v>3000</v>
      </c>
      <c r="H10" s="22"/>
      <c r="I10" s="26"/>
      <c r="J10" s="13">
        <v>3000</v>
      </c>
      <c r="K10" s="13">
        <v>3000</v>
      </c>
      <c r="L10" s="27">
        <f>IF(I10="",0,IF(K10&gt;0,0,IF(I10="A",H10,IF(I10="M",H10*12,IF(I10="W",H10*(Lookups!$B$9+1),IF(I10="B",H10*(+Lookups!$B$10),IF(I10="S",H10*2,IF(AND(H10=0,K10&gt;0),K10,"ERROR"))))))))</f>
        <v>0</v>
      </c>
      <c r="M10" s="22"/>
      <c r="N10" s="26"/>
      <c r="O10" s="13">
        <v>3000</v>
      </c>
      <c r="P10" s="27">
        <f>IF(M10="",0,IF(O10&gt;0,0,IF(N10="A",M10,IF(N10="M",M10*12,IF(N10="W",M10*Lookups!B$9,IF(N10="B",M10*+Lookups!B$10,IF(N10="S",M10*2,IF(AND(M10=0,O10&gt;0),O10,"ERROR"))))))))</f>
        <v>0</v>
      </c>
      <c r="Q10" s="149" t="str">
        <f>IF(OR(AND(P10=0,H10=0),O10&gt;0),"",IF(AND(I10="W",N10="W"),ROUND(P10-(H10*Lookups!$B$9),0),ROUND(+P10-L10,0)))</f>
        <v/>
      </c>
      <c r="R10" s="91" t="str">
        <f t="shared" si="1"/>
        <v>E</v>
      </c>
      <c r="S10" s="24"/>
      <c r="T10" s="179" t="str">
        <f t="shared" si="5"/>
        <v/>
      </c>
      <c r="U10" s="175">
        <f t="shared" si="6"/>
        <v>3000</v>
      </c>
      <c r="V10" s="175" t="str">
        <f t="shared" si="7"/>
        <v/>
      </c>
      <c r="W10" s="13" t="str">
        <f t="shared" si="2"/>
        <v/>
      </c>
      <c r="X10" s="13"/>
      <c r="Y10" s="140"/>
    </row>
    <row r="11" spans="1:30" x14ac:dyDescent="0.35">
      <c r="B11" s="28" t="s">
        <v>65</v>
      </c>
      <c r="C11" s="4" t="s">
        <v>66</v>
      </c>
      <c r="D11" s="13">
        <v>900</v>
      </c>
      <c r="E11" s="22">
        <v>1200</v>
      </c>
      <c r="F11" s="13">
        <v>700</v>
      </c>
      <c r="G11" s="27">
        <f t="shared" si="0"/>
        <v>700</v>
      </c>
      <c r="H11" s="22">
        <v>100</v>
      </c>
      <c r="I11" s="26" t="s">
        <v>44</v>
      </c>
      <c r="J11" s="13">
        <v>400</v>
      </c>
      <c r="K11" s="13"/>
      <c r="L11" s="27">
        <f>IF(I11="",0,IF(K11&gt;0,0,IF(I11="A",H11,IF(I11="M",H11*12,IF(I11="W",H11*(Lookups!$B$9+1),IF(I11="B",H11*(+Lookups!$B$10),IF(I11="S",H11*2,IF(AND(H11=0,K11&gt;0),K11,"ERROR"))))))))</f>
        <v>1200</v>
      </c>
      <c r="M11" s="22"/>
      <c r="N11" s="26"/>
      <c r="O11" s="13">
        <v>400</v>
      </c>
      <c r="P11" s="27">
        <f>IF(M11="",0,IF(O11&gt;0,0,IF(N11="A",M11,IF(N11="M",M11*12,IF(N11="W",M11*Lookups!B$9,IF(N11="B",M11*+Lookups!B$10,IF(N11="S",M11*2,IF(AND(M11=0,O11&gt;0),O11,"ERROR"))))))))</f>
        <v>0</v>
      </c>
      <c r="Q11" s="149" t="str">
        <f>IF(OR(AND(P11=0,H11=0),O11&gt;0),"",IF(AND(I11="W",N11="W"),ROUND(P11-(H11*Lookups!$B$9),0),ROUND(+P11-L11,0)))</f>
        <v/>
      </c>
      <c r="R11" s="91" t="str">
        <f t="shared" si="1"/>
        <v>E</v>
      </c>
      <c r="S11" s="24">
        <v>100</v>
      </c>
      <c r="T11" s="179">
        <f t="shared" si="5"/>
        <v>400</v>
      </c>
      <c r="U11" s="175" t="str">
        <f t="shared" si="6"/>
        <v/>
      </c>
      <c r="V11" s="175" t="str">
        <f t="shared" si="7"/>
        <v/>
      </c>
      <c r="W11" s="13" t="str">
        <f t="shared" si="2"/>
        <v/>
      </c>
      <c r="X11" s="13"/>
      <c r="Y11" s="140"/>
      <c r="Z11" s="67" t="s">
        <v>405</v>
      </c>
      <c r="AA11" s="68" t="s">
        <v>404</v>
      </c>
      <c r="AB11" s="68" t="s">
        <v>402</v>
      </c>
      <c r="AC11" s="69" t="s">
        <v>403</v>
      </c>
      <c r="AD11" s="70">
        <v>53406</v>
      </c>
    </row>
    <row r="12" spans="1:30" x14ac:dyDescent="0.35">
      <c r="B12" s="28" t="s">
        <v>13</v>
      </c>
      <c r="C12" s="4" t="s">
        <v>69</v>
      </c>
      <c r="D12" s="13">
        <v>1300</v>
      </c>
      <c r="E12" s="22">
        <v>1350</v>
      </c>
      <c r="F12" s="13">
        <v>0</v>
      </c>
      <c r="G12" s="124">
        <v>1350</v>
      </c>
      <c r="H12" s="22">
        <v>1300</v>
      </c>
      <c r="I12" s="26" t="s">
        <v>40</v>
      </c>
      <c r="J12" s="13">
        <v>1300</v>
      </c>
      <c r="K12" s="13"/>
      <c r="L12" s="27">
        <f>IF(I12="",0,IF(K12&gt;0,0,IF(I12="A",H12,IF(I12="M",H12*12,IF(I12="W",H12*(Lookups!$B$9+1),IF(I12="B",H12*(+Lookups!$B$10),IF(I12="S",H12*2,IF(AND(H12=0,K12&gt;0),K12,"ERROR"))))))))</f>
        <v>1300</v>
      </c>
      <c r="M12" s="22"/>
      <c r="N12" s="26"/>
      <c r="O12" s="13">
        <v>1300</v>
      </c>
      <c r="P12" s="27">
        <f>IF(M12="",0,IF(O12&gt;0,0,IF(N12="A",M12,IF(N12="M",M12*12,IF(N12="W",M12*Lookups!B$9,IF(N12="B",M12*+Lookups!B$10,IF(N12="S",M12*2,IF(AND(M12=0,O12&gt;0),O12,"ERROR"))))))))</f>
        <v>0</v>
      </c>
      <c r="Q12" s="149" t="str">
        <f>IF(OR(AND(P12=0,H12=0),O12&gt;0),"",IF(AND(I12="W",N12="W"),ROUND(P12-(H12*Lookups!$B$9),0),ROUND(+P12-L12,0)))</f>
        <v/>
      </c>
      <c r="R12" s="91" t="str">
        <f t="shared" si="1"/>
        <v>E</v>
      </c>
      <c r="S12" s="24"/>
      <c r="T12" s="179" t="str">
        <f t="shared" si="5"/>
        <v/>
      </c>
      <c r="U12" s="175">
        <f t="shared" si="6"/>
        <v>1300</v>
      </c>
      <c r="V12" s="175" t="str">
        <f t="shared" si="7"/>
        <v/>
      </c>
      <c r="W12" s="13" t="str">
        <f t="shared" si="2"/>
        <v/>
      </c>
      <c r="X12" s="13"/>
      <c r="Y12" s="140"/>
    </row>
    <row r="13" spans="1:30" x14ac:dyDescent="0.35">
      <c r="A13" s="157" t="s">
        <v>650</v>
      </c>
      <c r="B13" s="127" t="s">
        <v>14</v>
      </c>
      <c r="C13" s="128" t="s">
        <v>15</v>
      </c>
      <c r="D13" s="129">
        <v>1800</v>
      </c>
      <c r="E13" s="130">
        <v>2100</v>
      </c>
      <c r="F13" s="129">
        <v>1575</v>
      </c>
      <c r="G13" s="131">
        <f t="shared" ref="G13:G34" si="8">IF(E13=0,F13,IF(AND(F13=0,J13="A"),E13,IF(F13&gt;E13,F13, IF(F13/E13&gt;0.73,E13,F13))))</f>
        <v>2100</v>
      </c>
      <c r="H13" s="130">
        <v>175</v>
      </c>
      <c r="I13" s="132" t="s">
        <v>44</v>
      </c>
      <c r="J13" s="129">
        <v>2100</v>
      </c>
      <c r="K13" s="129"/>
      <c r="L13" s="131">
        <f>IF(I13="",0,IF(K13&gt;0,0,IF(I13="A",H13,IF(I13="M",H13*12,IF(I13="W",H13*(Lookups!$B$9+1),IF(I13="B",H13*(+Lookups!$B$10),IF(I13="S",H13*2,IF(AND(H13=0,K13&gt;0),K13,"ERROR"))))))))</f>
        <v>2100</v>
      </c>
      <c r="M13" s="130"/>
      <c r="N13" s="132"/>
      <c r="O13" s="129">
        <v>0</v>
      </c>
      <c r="P13" s="131">
        <f>IF(M13="",0,IF(O13&gt;0,0,IF(N13="A",M13,IF(N13="M",M13*12,IF(N13="W",M13*Lookups!B$9,IF(N13="B",M13*+Lookups!B$10,IF(N13="S",M13*2,IF(AND(M13=0,O13&gt;0),O13,"ERROR"))))))))</f>
        <v>0</v>
      </c>
      <c r="Q13" s="101">
        <f>IF(OR(AND(P13=0,H13=0),O13&gt;0),"",IF(AND(I13="W",N13="W"),ROUND(P13-(H13*Lookups!$B$9),0),ROUND(+P13-L13,0)))</f>
        <v>-2100</v>
      </c>
      <c r="R13" s="152" t="s">
        <v>643</v>
      </c>
      <c r="S13" s="146"/>
      <c r="T13" s="180" t="str">
        <f t="shared" si="5"/>
        <v/>
      </c>
      <c r="U13" s="176">
        <f t="shared" si="6"/>
        <v>0</v>
      </c>
      <c r="V13" s="176" t="str">
        <f t="shared" si="7"/>
        <v/>
      </c>
      <c r="W13" s="129" t="str">
        <f t="shared" si="2"/>
        <v/>
      </c>
      <c r="X13" s="129"/>
      <c r="Y13" s="141"/>
      <c r="Z13" s="136" t="s">
        <v>409</v>
      </c>
      <c r="AA13" s="133" t="s">
        <v>410</v>
      </c>
      <c r="AB13" s="133" t="s">
        <v>402</v>
      </c>
      <c r="AC13" s="134" t="s">
        <v>403</v>
      </c>
      <c r="AD13" s="135">
        <v>53405</v>
      </c>
    </row>
    <row r="14" spans="1:30" x14ac:dyDescent="0.35">
      <c r="B14" s="28" t="s">
        <v>67</v>
      </c>
      <c r="C14" s="4" t="s">
        <v>68</v>
      </c>
      <c r="D14" s="13">
        <v>1200</v>
      </c>
      <c r="E14" s="22">
        <v>1200</v>
      </c>
      <c r="F14" s="13">
        <v>900</v>
      </c>
      <c r="G14" s="27">
        <f t="shared" si="8"/>
        <v>1200</v>
      </c>
      <c r="H14" s="22">
        <v>100</v>
      </c>
      <c r="I14" s="26" t="s">
        <v>44</v>
      </c>
      <c r="J14" s="13">
        <v>1200</v>
      </c>
      <c r="K14" s="13"/>
      <c r="L14" s="27"/>
      <c r="M14" s="22"/>
      <c r="N14" s="26"/>
      <c r="O14" s="13">
        <v>1200</v>
      </c>
      <c r="P14" s="27">
        <f>IF(M14="",0,IF(O14&gt;0,0,IF(N14="A",M14,IF(N14="M",M14*12,IF(N14="W",M14*Lookups!B$9,IF(N14="B",M14*+Lookups!B$10,IF(N14="S",M14*2,IF(AND(M14=0,O14&gt;0),O14,"ERROR"))))))))</f>
        <v>0</v>
      </c>
      <c r="Q14" s="149" t="str">
        <f>IF(OR(AND(P14=0,H14=0),O14&gt;0),"",IF(AND(I14="W",N14="W"),ROUND(P14-(H14*Lookups!$B$9),0),ROUND(+P14-L14,0)))</f>
        <v/>
      </c>
      <c r="R14" s="91" t="str">
        <f t="shared" ref="R14:R70" si="9">IF(AND(O14&gt;0,J14&gt;0),"E",IF(Q14="","",IF(Q14=0,"S",IF(AND(Q14&gt;0,NOT(H14=0)),"I",IF(AND(Q14&gt;0,H14=0),"N",IF(Q14&lt;0,"D","ERROR"))))))</f>
        <v>E</v>
      </c>
      <c r="S14" s="24">
        <v>200</v>
      </c>
      <c r="T14" s="179">
        <f t="shared" si="5"/>
        <v>1200</v>
      </c>
      <c r="U14" s="175" t="str">
        <f t="shared" si="6"/>
        <v/>
      </c>
      <c r="V14" s="175" t="str">
        <f t="shared" si="7"/>
        <v/>
      </c>
      <c r="W14" s="13" t="str">
        <f t="shared" si="2"/>
        <v/>
      </c>
      <c r="X14" s="13"/>
      <c r="Y14" s="140"/>
    </row>
    <row r="15" spans="1:30" x14ac:dyDescent="0.35">
      <c r="B15" s="28" t="s">
        <v>243</v>
      </c>
      <c r="C15" s="4" t="s">
        <v>244</v>
      </c>
      <c r="D15" s="13">
        <v>470</v>
      </c>
      <c r="E15" s="22"/>
      <c r="F15" s="13">
        <v>150</v>
      </c>
      <c r="G15" s="27">
        <f t="shared" si="8"/>
        <v>150</v>
      </c>
      <c r="H15" s="22">
        <v>50</v>
      </c>
      <c r="I15" s="26" t="s">
        <v>44</v>
      </c>
      <c r="J15" s="13">
        <v>300</v>
      </c>
      <c r="K15" s="13"/>
      <c r="L15" s="27">
        <f>IF(I15="",0,IF(K15&gt;0,0,IF(I15="A",H15,IF(I15="M",H15*12,IF(I15="W",H15*(Lookups!$B$9+1),IF(I15="B",H15*(+Lookups!$B$10),IF(I15="S",H15*2,IF(AND(H15=0,K15&gt;0),K15,"ERROR"))))))))</f>
        <v>600</v>
      </c>
      <c r="M15" s="22">
        <v>50</v>
      </c>
      <c r="N15" s="26" t="s">
        <v>44</v>
      </c>
      <c r="O15" s="13"/>
      <c r="P15" s="27">
        <f>IF(M15="",0,IF(O15&gt;0,0,IF(N15="A",M15,IF(N15="M",M15*12,IF(N15="W",M15*Lookups!B$9,IF(N15="B",M15*+Lookups!B$10,IF(N15="S",M15*2,IF(AND(M15=0,O15&gt;0),O15,"ERROR"))))))))</f>
        <v>600</v>
      </c>
      <c r="Q15" s="149">
        <f>IF(OR(AND(P15=0,H15=0),O15&gt;0),"",IF(AND(I15="W",N15="W"),ROUND(P15-(H15*Lookups!$B$9),0),ROUND(+P15-L15,0)))</f>
        <v>0</v>
      </c>
      <c r="R15" s="91" t="str">
        <f t="shared" si="9"/>
        <v>S</v>
      </c>
      <c r="S15" s="24">
        <v>120</v>
      </c>
      <c r="T15" s="179">
        <f t="shared" si="5"/>
        <v>0</v>
      </c>
      <c r="U15" s="175" t="str">
        <f t="shared" si="6"/>
        <v/>
      </c>
      <c r="V15" s="175" t="str">
        <f t="shared" si="7"/>
        <v/>
      </c>
      <c r="W15" s="13" t="str">
        <f t="shared" si="2"/>
        <v/>
      </c>
      <c r="X15" s="13"/>
      <c r="Y15" s="140"/>
      <c r="Z15" s="67" t="s">
        <v>411</v>
      </c>
      <c r="AA15" s="68" t="s">
        <v>412</v>
      </c>
      <c r="AB15" s="68" t="s">
        <v>402</v>
      </c>
      <c r="AC15" s="69" t="s">
        <v>403</v>
      </c>
      <c r="AD15" s="70">
        <v>53406</v>
      </c>
    </row>
    <row r="16" spans="1:30" x14ac:dyDescent="0.35">
      <c r="A16" s="157" t="s">
        <v>650</v>
      </c>
      <c r="B16" s="28" t="s">
        <v>16</v>
      </c>
      <c r="C16" s="4" t="s">
        <v>17</v>
      </c>
      <c r="D16" s="13"/>
      <c r="E16" s="22">
        <v>400</v>
      </c>
      <c r="F16" s="13">
        <v>60</v>
      </c>
      <c r="G16" s="27">
        <f t="shared" si="8"/>
        <v>60</v>
      </c>
      <c r="H16" s="22"/>
      <c r="I16" s="26"/>
      <c r="J16" s="13"/>
      <c r="K16" s="13"/>
      <c r="L16" s="27">
        <f>IF(I16="",0,IF(K16&gt;0,0,IF(I16="A",H16,IF(I16="M",H16*12,IF(I16="W",H16*(Lookups!$B$9+1),IF(I16="B",H16*(+Lookups!$B$10),IF(I16="S",H16*2,IF(AND(H16=0,K16&gt;0),K16,"ERROR"))))))))</f>
        <v>0</v>
      </c>
      <c r="M16" s="22"/>
      <c r="N16" s="26"/>
      <c r="O16" s="13"/>
      <c r="P16" s="27">
        <f>IF(M16="",0,IF(O16&gt;0,0,IF(N16="A",M16,IF(N16="M",M16*12,IF(N16="W",M16*Lookups!B$9,IF(N16="B",M16*+Lookups!B$10,IF(N16="S",M16*2,IF(AND(M16=0,O16&gt;0),O16,"ERROR"))))))))</f>
        <v>0</v>
      </c>
      <c r="Q16" s="149" t="str">
        <f>IF(OR(AND(P16=0,H16=0),O16&gt;0),"",IF(AND(I16="W",N16="W"),ROUND(P16-(H16*Lookups!$B$9),0),ROUND(+P16-L16,0)))</f>
        <v/>
      </c>
      <c r="R16" s="91" t="str">
        <f>IF(O16&gt;0,"E",IF(Q16="","",IF(Q16=0,"S",IF(AND(Q16&gt;0,NOT(H16=0)),"I",IF(AND(Q16&gt;0,H16=0),"N",IF(Q16&lt;0,"D","ERROR"))))))</f>
        <v/>
      </c>
      <c r="S16" s="24"/>
      <c r="T16" s="179" t="str">
        <f t="shared" si="5"/>
        <v/>
      </c>
      <c r="U16" s="175" t="str">
        <f t="shared" si="6"/>
        <v/>
      </c>
      <c r="V16" s="175">
        <f t="shared" si="7"/>
        <v>0</v>
      </c>
      <c r="W16" s="13" t="str">
        <f t="shared" si="2"/>
        <v/>
      </c>
      <c r="X16" s="13"/>
      <c r="Y16" s="140"/>
    </row>
    <row r="17" spans="1:31" x14ac:dyDescent="0.35">
      <c r="B17" s="28" t="s">
        <v>18</v>
      </c>
      <c r="C17" s="4" t="s">
        <v>19</v>
      </c>
      <c r="D17" s="13">
        <v>3900</v>
      </c>
      <c r="E17" s="22">
        <v>4200</v>
      </c>
      <c r="F17" s="13">
        <v>3250</v>
      </c>
      <c r="G17" s="27">
        <f t="shared" si="8"/>
        <v>4200</v>
      </c>
      <c r="H17" s="22">
        <v>350</v>
      </c>
      <c r="I17" s="26" t="s">
        <v>44</v>
      </c>
      <c r="J17" s="13">
        <v>4200</v>
      </c>
      <c r="K17" s="13"/>
      <c r="L17" s="27">
        <f>IF(I17="",0,IF(K17&gt;0,0,IF(I17="A",H17,IF(I17="M",H17*12,IF(I17="W",H17*(Lookups!$B$9+1),IF(I17="B",H17*(+Lookups!$B$10),IF(I17="S",H17*2,IF(AND(H17=0,K17&gt;0),K17,"ERROR"))))))))</f>
        <v>4200</v>
      </c>
      <c r="M17" s="22">
        <v>350</v>
      </c>
      <c r="N17" s="26" t="s">
        <v>44</v>
      </c>
      <c r="O17" s="13"/>
      <c r="P17" s="27">
        <f>IF(M17="",0,IF(O17&gt;0,0,IF(N17="A",M17,IF(N17="M",M17*12,IF(N17="W",M17*Lookups!B$9,IF(N17="B",M17*+Lookups!B$10,IF(N17="S",M17*2,IF(AND(M17=0,O17&gt;0),O17,"ERROR"))))))))</f>
        <v>4200</v>
      </c>
      <c r="Q17" s="149">
        <f>IF(OR(AND(P17=0,H17=0),O17&gt;0),"",IF(AND(I17="W",N17="W"),ROUND(P17-(H17*Lookups!$B$9),0),ROUND(+P17-L17,0)))</f>
        <v>0</v>
      </c>
      <c r="R17" s="91" t="str">
        <f t="shared" si="9"/>
        <v>S</v>
      </c>
      <c r="S17" s="24">
        <v>700</v>
      </c>
      <c r="T17" s="179">
        <f t="shared" si="5"/>
        <v>0</v>
      </c>
      <c r="U17" s="175" t="str">
        <f t="shared" si="6"/>
        <v/>
      </c>
      <c r="V17" s="175" t="str">
        <f t="shared" si="7"/>
        <v/>
      </c>
      <c r="W17" s="13" t="str">
        <f t="shared" si="2"/>
        <v/>
      </c>
      <c r="X17" s="13"/>
      <c r="Y17" s="140"/>
      <c r="Z17" s="67" t="s">
        <v>413</v>
      </c>
      <c r="AA17" s="68" t="s">
        <v>414</v>
      </c>
      <c r="AB17" s="68" t="s">
        <v>402</v>
      </c>
      <c r="AC17" s="69" t="s">
        <v>403</v>
      </c>
      <c r="AD17" s="70">
        <v>53406</v>
      </c>
    </row>
    <row r="18" spans="1:31" x14ac:dyDescent="0.35">
      <c r="B18" s="28" t="s">
        <v>415</v>
      </c>
      <c r="C18" s="4" t="s">
        <v>21</v>
      </c>
      <c r="D18" s="13">
        <v>7280</v>
      </c>
      <c r="E18" s="22">
        <v>7280</v>
      </c>
      <c r="F18" s="13">
        <v>5460</v>
      </c>
      <c r="G18" s="27">
        <f t="shared" si="8"/>
        <v>7280</v>
      </c>
      <c r="H18" s="22">
        <v>750</v>
      </c>
      <c r="I18" s="26" t="s">
        <v>44</v>
      </c>
      <c r="J18" s="13">
        <v>8640</v>
      </c>
      <c r="K18" s="13"/>
      <c r="L18" s="27">
        <f>IF(I18="",0,IF(K18&gt;0,0,IF(I18="A",H18,IF(I18="M",H18*12,IF(I18="W",H18*(Lookups!$B$9+1),IF(I18="B",H18*(+Lookups!$B$10),IF(I18="S",H18*2,IF(AND(H18=0,K18&gt;0),K18,"ERROR"))))))))</f>
        <v>9000</v>
      </c>
      <c r="M18" s="22">
        <v>720</v>
      </c>
      <c r="N18" s="26" t="s">
        <v>44</v>
      </c>
      <c r="O18" s="13"/>
      <c r="P18" s="27">
        <f>IF(M18="",0,IF(O18&gt;0,0,IF(N18="A",M18,IF(N18="M",M18*12,IF(N18="W",M18*Lookups!B$9,IF(N18="B",M18*+Lookups!B$10,IF(N18="S",M18*2,IF(AND(M18=0,O18&gt;0),O18,"ERROR"))))))))</f>
        <v>8640</v>
      </c>
      <c r="Q18" s="149">
        <f>IF(OR(AND(P18=0,H18=0),O18&gt;0),"",IF(AND(I18="W",N18="W"),ROUND(P18-(H18*Lookups!$B$9),0),ROUND(+P18-L18,0)))</f>
        <v>-360</v>
      </c>
      <c r="R18" s="91" t="str">
        <f t="shared" si="9"/>
        <v>D</v>
      </c>
      <c r="S18" s="24">
        <v>1440</v>
      </c>
      <c r="T18" s="179">
        <f t="shared" si="5"/>
        <v>0</v>
      </c>
      <c r="U18" s="175" t="str">
        <f t="shared" si="6"/>
        <v/>
      </c>
      <c r="V18" s="175" t="str">
        <f t="shared" si="7"/>
        <v/>
      </c>
      <c r="W18" s="13">
        <f t="shared" si="2"/>
        <v>8640</v>
      </c>
      <c r="X18" s="13">
        <v>88</v>
      </c>
      <c r="Y18" s="140"/>
      <c r="Z18" s="67" t="s">
        <v>416</v>
      </c>
      <c r="AA18" s="68" t="s">
        <v>417</v>
      </c>
      <c r="AB18" s="68" t="s">
        <v>408</v>
      </c>
      <c r="AC18" s="69" t="s">
        <v>403</v>
      </c>
      <c r="AD18" s="70">
        <v>53126</v>
      </c>
    </row>
    <row r="19" spans="1:31" x14ac:dyDescent="0.35">
      <c r="B19" s="28" t="s">
        <v>20</v>
      </c>
      <c r="C19" s="4" t="s">
        <v>628</v>
      </c>
      <c r="D19" s="13">
        <v>4565</v>
      </c>
      <c r="E19" s="22"/>
      <c r="F19" s="13">
        <v>2710</v>
      </c>
      <c r="G19" s="27">
        <f t="shared" si="8"/>
        <v>2710</v>
      </c>
      <c r="H19" s="22"/>
      <c r="I19" s="26"/>
      <c r="J19" s="13">
        <v>2530</v>
      </c>
      <c r="K19" s="13">
        <v>2700</v>
      </c>
      <c r="L19" s="27">
        <f>IF(I19="",0,IF(K19&gt;0,0,IF(I19="A",H19,IF(I19="M",H19*12,IF(I19="W",H19*(Lookups!$B$9+1),IF(I19="B",H19*(+Lookups!$B$10),IF(I19="S",H19*2,IF(AND(H19=0,K19&gt;0),K19,"ERROR"))))))))</f>
        <v>0</v>
      </c>
      <c r="M19" s="22">
        <v>250</v>
      </c>
      <c r="N19" s="26" t="s">
        <v>44</v>
      </c>
      <c r="O19" s="13"/>
      <c r="P19" s="27">
        <f>IF(M19="",0,IF(O19&gt;0,0,IF(N19="A",M19,IF(N19="M",M19*12,IF(N19="W",M19*Lookups!B$9,IF(N19="B",M19*+Lookups!B$10,IF(N19="S",M19*2,IF(AND(M19=0,O19&gt;0),O19,"ERROR"))))))))</f>
        <v>3000</v>
      </c>
      <c r="Q19" s="149">
        <f>IF(OR(AND(P19=0,H19=0),O19&gt;0),"",IF(AND(I19="W",N19="W"),ROUND(P19-(H19*Lookups!$B$9),0),ROUND(+P19-L19,0)))</f>
        <v>3000</v>
      </c>
      <c r="R19" s="91" t="str">
        <f t="shared" si="9"/>
        <v>N</v>
      </c>
      <c r="S19" s="24">
        <v>700</v>
      </c>
      <c r="T19" s="179">
        <f t="shared" si="5"/>
        <v>0</v>
      </c>
      <c r="U19" s="175" t="str">
        <f t="shared" si="6"/>
        <v/>
      </c>
      <c r="V19" s="175" t="str">
        <f t="shared" si="7"/>
        <v/>
      </c>
      <c r="W19" s="13" t="str">
        <f t="shared" si="2"/>
        <v/>
      </c>
      <c r="X19" s="13"/>
      <c r="Y19" s="140"/>
    </row>
    <row r="20" spans="1:31" x14ac:dyDescent="0.35">
      <c r="A20" s="157" t="s">
        <v>650</v>
      </c>
      <c r="B20" s="127" t="s">
        <v>245</v>
      </c>
      <c r="C20" s="128" t="s">
        <v>246</v>
      </c>
      <c r="D20" s="129">
        <v>11184</v>
      </c>
      <c r="E20" s="130"/>
      <c r="F20" s="129"/>
      <c r="G20" s="131">
        <f t="shared" si="8"/>
        <v>0</v>
      </c>
      <c r="H20" s="130"/>
      <c r="I20" s="132"/>
      <c r="J20" s="129">
        <v>6240</v>
      </c>
      <c r="K20" s="129"/>
      <c r="L20" s="131">
        <f>IF(I20="",0,IF(K20&gt;0,0,IF(I20="A",H20,IF(I20="M",H20*12,IF(I20="W",H20*(Lookups!$B$9+1),IF(I20="B",H20*(+Lookups!$B$10),IF(I20="S",H20*2,IF(AND(H20=0,K20&gt;0),K20,"ERROR"))))))))</f>
        <v>0</v>
      </c>
      <c r="M20" s="130"/>
      <c r="N20" s="132"/>
      <c r="O20" s="129"/>
      <c r="P20" s="131">
        <f>IF(M20="",0,IF(O20&gt;0,0,IF(N20="A",M20,IF(N20="M",M20*12,IF(N20="W",M20*Lookups!B$9,IF(N20="B",M20*+Lookups!B$10,IF(N20="S",M20*2,IF(AND(M20=0,O20&gt;0),O20,"ERROR"))))))))</f>
        <v>0</v>
      </c>
      <c r="Q20" s="101" t="str">
        <f>IF(OR(AND(P20=0,H20=0),O20&gt;0),"",IF(AND(I20="W",N20="W"),ROUND(P20-(H20*Lookups!$B$9),0),ROUND(+P20-L20,0)))</f>
        <v/>
      </c>
      <c r="R20" s="152" t="s">
        <v>643</v>
      </c>
      <c r="S20" s="146"/>
      <c r="T20" s="180" t="str">
        <f t="shared" si="5"/>
        <v/>
      </c>
      <c r="U20" s="176">
        <f t="shared" si="6"/>
        <v>0</v>
      </c>
      <c r="V20" s="176" t="str">
        <f t="shared" si="7"/>
        <v/>
      </c>
      <c r="W20" s="129">
        <f t="shared" si="2"/>
        <v>0</v>
      </c>
      <c r="X20" s="129">
        <v>76</v>
      </c>
      <c r="Y20" s="141" t="s">
        <v>513</v>
      </c>
      <c r="Z20" s="133"/>
      <c r="AA20" s="133"/>
      <c r="AB20" s="133"/>
      <c r="AC20" s="134"/>
      <c r="AD20" s="135"/>
    </row>
    <row r="21" spans="1:31" x14ac:dyDescent="0.35">
      <c r="B21" s="28" t="s">
        <v>22</v>
      </c>
      <c r="C21" s="4" t="s">
        <v>23</v>
      </c>
      <c r="D21" s="13">
        <v>1030</v>
      </c>
      <c r="E21" s="22">
        <v>1099.8</v>
      </c>
      <c r="F21" s="13">
        <v>882</v>
      </c>
      <c r="G21" s="27">
        <f t="shared" si="8"/>
        <v>1099.8</v>
      </c>
      <c r="H21" s="22">
        <v>25</v>
      </c>
      <c r="I21" s="26" t="s">
        <v>43</v>
      </c>
      <c r="J21" s="13">
        <v>1325</v>
      </c>
      <c r="K21" s="13"/>
      <c r="L21" s="27">
        <f>IF(I21="",0,IF(K21&gt;0,0,IF(I21="A",H21,IF(I21="M",H21*12,IF(I21="W",H21*(Lookups!$B$9+1),IF(I21="B",H21*(+Lookups!$B$10),IF(I21="S",H21*2,IF(AND(H21=0,K21&gt;0),K21,"ERROR"))))))))</f>
        <v>1325</v>
      </c>
      <c r="M21" s="22">
        <v>30</v>
      </c>
      <c r="N21" s="26" t="s">
        <v>43</v>
      </c>
      <c r="O21" s="13"/>
      <c r="P21" s="27">
        <f>IF(M21="",0,IF(O21&gt;0,0,IF(N21="A",M21,IF(N21="M",M21*12,IF(N21="W",M21*Lookups!B$9,IF(N21="B",M21*+Lookups!B$10,IF(N21="S",M21*2,IF(AND(M21=0,O21&gt;0),O21,"ERROR"))))))))</f>
        <v>1560</v>
      </c>
      <c r="Q21" s="149">
        <f>IF(OR(AND(P21=0,H21=0),O21&gt;0),"",IF(AND(I21="W",N21="W"),ROUND(P21-(H21*Lookups!$B$9),0),ROUND(+P21-L21,0)))</f>
        <v>260</v>
      </c>
      <c r="R21" s="91" t="str">
        <f>IF(AND(O21&gt;0,J21&gt;0),"E",IF(Q21="","",IF(Q21=0,"S",IF(AND(Q21&gt;0,NOT(H21=0)),"I",IF(AND(Q21&gt;0,H21=0),"N",IF(AND(I21="W",N21="W"),IF((H21*Lookups!C$9)-(M21*Lookups!B$9)&lt;0,"D",IF(Q21&lt;0,"D","ERROR"))))))))</f>
        <v>I</v>
      </c>
      <c r="S21" s="24">
        <v>240</v>
      </c>
      <c r="T21" s="179">
        <f t="shared" si="5"/>
        <v>0</v>
      </c>
      <c r="U21" s="175" t="str">
        <f t="shared" si="6"/>
        <v/>
      </c>
      <c r="V21" s="175" t="str">
        <f t="shared" si="7"/>
        <v/>
      </c>
      <c r="W21" s="13" t="str">
        <f t="shared" si="2"/>
        <v/>
      </c>
      <c r="X21" s="13"/>
      <c r="Y21" s="140"/>
      <c r="Z21" s="67" t="s">
        <v>418</v>
      </c>
      <c r="AA21" s="68" t="s">
        <v>419</v>
      </c>
      <c r="AB21" s="68" t="s">
        <v>420</v>
      </c>
      <c r="AC21" s="69" t="s">
        <v>403</v>
      </c>
      <c r="AD21" s="70">
        <v>53108</v>
      </c>
    </row>
    <row r="22" spans="1:31" x14ac:dyDescent="0.35">
      <c r="B22" s="28" t="s">
        <v>24</v>
      </c>
      <c r="C22" s="4" t="s">
        <v>421</v>
      </c>
      <c r="D22" s="13">
        <v>2600</v>
      </c>
      <c r="E22" s="22">
        <v>2600</v>
      </c>
      <c r="F22" s="13">
        <v>1970</v>
      </c>
      <c r="G22" s="27">
        <f t="shared" si="8"/>
        <v>2600</v>
      </c>
      <c r="H22" s="22">
        <v>50</v>
      </c>
      <c r="I22" s="26" t="s">
        <v>43</v>
      </c>
      <c r="J22" s="13">
        <v>2675</v>
      </c>
      <c r="K22" s="13"/>
      <c r="L22" s="27">
        <f>IF(I22="",0,IF(K22&gt;0,0,IF(I22="A",H22,IF(I22="M",H22*12,IF(I22="W",H22*(Lookups!$B$9+1),IF(I22="B",H22*(+Lookups!$B$10),IF(I22="S",H22*2,IF(AND(H22=0,K22&gt;0),K22,"ERROR"))))))))</f>
        <v>2650</v>
      </c>
      <c r="M22" s="22">
        <v>50</v>
      </c>
      <c r="N22" s="26" t="s">
        <v>43</v>
      </c>
      <c r="O22" s="13"/>
      <c r="P22" s="27">
        <f>IF(M22="",0,IF(O22&gt;0,0,IF(N22="A",M22,IF(N22="M",M22*12,IF(N22="W",M22*Lookups!B$9,IF(N22="B",M22*+Lookups!B$10,IF(N22="S",M22*2,IF(AND(M22=0,O22&gt;0),O22,"ERROR"))))))))</f>
        <v>2600</v>
      </c>
      <c r="Q22" s="149">
        <f>IF(OR(AND(P22=0,H22=0),O22&gt;0),"",IF(AND(I22="W",N22="W"),ROUND(P22-(H22*Lookups!$B$9),0),ROUND(+P22-L22,0)))</f>
        <v>0</v>
      </c>
      <c r="R22" s="91" t="str">
        <f>IF(AND(O22&gt;0,J22&gt;0),"E",IF(Q22="","",IF(Q22=0,"S",IF(AND(Q22&gt;0,NOT(H22=0)),"I",IF(AND(Q22&gt;0,H22=0),"N",IF(AND(I22="W",N22="W"),IF((H22*Lookups!C$9)-(M22*Lookups!B$9)&lt;0,"D",IF(Q22&lt;0,"D","ERROR"))))))))</f>
        <v>S</v>
      </c>
      <c r="S22" s="24">
        <v>400</v>
      </c>
      <c r="T22" s="179">
        <f t="shared" si="5"/>
        <v>0</v>
      </c>
      <c r="U22" s="175" t="str">
        <f t="shared" si="6"/>
        <v/>
      </c>
      <c r="V22" s="175" t="str">
        <f t="shared" si="7"/>
        <v/>
      </c>
      <c r="W22" s="13" t="str">
        <f t="shared" si="2"/>
        <v/>
      </c>
      <c r="X22" s="13"/>
      <c r="Y22" s="140"/>
      <c r="AA22" s="68" t="s">
        <v>422</v>
      </c>
      <c r="AB22" s="68" t="s">
        <v>408</v>
      </c>
      <c r="AC22" s="69" t="s">
        <v>403</v>
      </c>
      <c r="AD22" s="70">
        <v>53126</v>
      </c>
      <c r="AE22" s="68" t="s">
        <v>423</v>
      </c>
    </row>
    <row r="23" spans="1:31" x14ac:dyDescent="0.35">
      <c r="B23" s="166" t="s">
        <v>27</v>
      </c>
      <c r="C23" s="4" t="s">
        <v>28</v>
      </c>
      <c r="D23" s="13">
        <v>1200</v>
      </c>
      <c r="E23" s="22">
        <v>2400</v>
      </c>
      <c r="F23" s="13">
        <v>1600</v>
      </c>
      <c r="G23" s="27">
        <f t="shared" si="8"/>
        <v>1600</v>
      </c>
      <c r="H23" s="22"/>
      <c r="I23" s="26"/>
      <c r="J23" s="13">
        <v>2400</v>
      </c>
      <c r="K23" s="13"/>
      <c r="L23" s="27">
        <f>IF(I23="",0,IF(K23&gt;0,0,IF(I23="A",H23,IF(I23="M",H23*12,IF(I23="W",H23*(Lookups!$B$9+1),IF(I23="B",H23*(+Lookups!$B$10),IF(I23="S",H23*2,IF(AND(H23=0,K23&gt;0),K23,"ERROR"))))))))</f>
        <v>0</v>
      </c>
      <c r="M23" s="22">
        <v>200</v>
      </c>
      <c r="N23" s="26" t="s">
        <v>44</v>
      </c>
      <c r="O23" s="13"/>
      <c r="P23" s="27">
        <f>IF(M23="",0,IF(O23&gt;0,0,IF(N23="A",M23,IF(N23="M",M23*12,IF(N23="W",M23*Lookups!B$9,IF(N23="B",M23*+Lookups!B$10,IF(N23="S",M23*2,IF(AND(M23=0,O23&gt;0),O23,"ERROR"))))))))</f>
        <v>2400</v>
      </c>
      <c r="Q23" s="149">
        <f>IF(OR(AND(P23=0,H23=0),O23&gt;0),"",IF(AND(I23="W",N23="W"),ROUND(P23-(H23*Lookups!$B$9),0),ROUND(+P23-L23,0)))</f>
        <v>2400</v>
      </c>
      <c r="R23" s="91" t="str">
        <f t="shared" si="9"/>
        <v>N</v>
      </c>
      <c r="S23" s="24">
        <v>400</v>
      </c>
      <c r="T23" s="179">
        <f t="shared" si="5"/>
        <v>0</v>
      </c>
      <c r="U23" s="175" t="str">
        <f t="shared" si="6"/>
        <v/>
      </c>
      <c r="V23" s="175" t="str">
        <f t="shared" si="7"/>
        <v/>
      </c>
      <c r="W23" s="13" t="str">
        <f t="shared" si="2"/>
        <v/>
      </c>
      <c r="X23" s="13"/>
      <c r="Y23" s="140"/>
    </row>
    <row r="24" spans="1:31" x14ac:dyDescent="0.35">
      <c r="B24" s="28" t="s">
        <v>27</v>
      </c>
      <c r="C24" s="4" t="s">
        <v>31</v>
      </c>
      <c r="D24" s="13">
        <v>900</v>
      </c>
      <c r="E24" s="22">
        <v>1000</v>
      </c>
      <c r="F24" s="13">
        <v>750</v>
      </c>
      <c r="G24" s="27">
        <f t="shared" si="8"/>
        <v>1000</v>
      </c>
      <c r="H24" s="22"/>
      <c r="I24" s="26" t="s">
        <v>40</v>
      </c>
      <c r="J24" s="13">
        <v>75</v>
      </c>
      <c r="K24" s="13">
        <v>1000</v>
      </c>
      <c r="L24" s="27">
        <f>IF(I24="",0,IF(K24&gt;0,0,IF(I24="A",H24,IF(I24="M",H24*12,IF(I24="W",H24*(Lookups!$B$9+1),IF(I24="B",H24*(+Lookups!$B$10),IF(I24="S",H24*2,IF(AND(H24=0,K24&gt;0),K24,"ERROR"))))))))</f>
        <v>0</v>
      </c>
      <c r="M24" s="22"/>
      <c r="N24" s="26"/>
      <c r="O24" s="13">
        <v>200</v>
      </c>
      <c r="P24" s="27">
        <f>IF(M24="",0,IF(O24&gt;0,0,IF(N24="A",M24,IF(N24="M",M24*12,IF(N24="W",M24*Lookups!B$9,IF(N24="B",M24*+Lookups!B$10,IF(N24="S",M24*2,IF(AND(M24=0,O24&gt;0),O24,"ERROR"))))))))</f>
        <v>0</v>
      </c>
      <c r="Q24" s="149" t="str">
        <f>IF(OR(AND(P24=0,H24=0),O24&gt;0),"",IF(AND(I24="W",N24="W"),ROUND(P24-(H24*Lookups!$B$9),0),ROUND(+P24-L24,0)))</f>
        <v/>
      </c>
      <c r="R24" s="91" t="str">
        <f t="shared" si="9"/>
        <v>E</v>
      </c>
      <c r="S24" s="24">
        <v>130</v>
      </c>
      <c r="T24" s="179">
        <f t="shared" si="5"/>
        <v>200</v>
      </c>
      <c r="U24" s="175" t="str">
        <f t="shared" si="6"/>
        <v/>
      </c>
      <c r="V24" s="175" t="str">
        <f t="shared" si="7"/>
        <v/>
      </c>
      <c r="W24" s="13" t="str">
        <f t="shared" si="2"/>
        <v/>
      </c>
      <c r="X24" s="13"/>
      <c r="Y24" s="140"/>
    </row>
    <row r="25" spans="1:31" x14ac:dyDescent="0.35">
      <c r="B25" s="28" t="s">
        <v>247</v>
      </c>
      <c r="C25" s="4" t="s">
        <v>248</v>
      </c>
      <c r="D25" s="13">
        <v>5</v>
      </c>
      <c r="E25" s="22"/>
      <c r="F25" s="13">
        <v>14</v>
      </c>
      <c r="G25" s="27">
        <f t="shared" si="8"/>
        <v>14</v>
      </c>
      <c r="H25" s="22">
        <v>10</v>
      </c>
      <c r="I25" s="26" t="s">
        <v>44</v>
      </c>
      <c r="J25" s="13">
        <v>79</v>
      </c>
      <c r="K25" s="13"/>
      <c r="L25" s="27">
        <f>IF(I25="",0,IF(K25&gt;0,0,IF(I25="A",H25,IF(I25="M",H25*12,IF(I25="W",H25*(Lookups!$B$9+1),IF(I25="B",H25*(+Lookups!$B$10),IF(I25="S",H25*2,IF(AND(H25=0,K25&gt;0),K25,"ERROR"))))))))</f>
        <v>120</v>
      </c>
      <c r="M25" s="22">
        <v>5</v>
      </c>
      <c r="N25" s="26" t="s">
        <v>43</v>
      </c>
      <c r="O25" s="13"/>
      <c r="P25" s="27">
        <f>IF(M25="",0,IF(O25&gt;0,0,IF(N25="A",M25,IF(N25="M",M25*12,IF(N25="W",M25*Lookups!B$9,IF(N25="B",M25*+Lookups!B$10,IF(N25="S",M25*2,IF(AND(M25=0,O25&gt;0),O25,"ERROR"))))))))</f>
        <v>260</v>
      </c>
      <c r="Q25" s="149">
        <f>IF(OR(AND(P25=0,H25=0),O25&gt;0),"",IF(AND(I25="W",N25="W"),ROUND(P25-(H25*Lookups!$B$9),0),ROUND(+P25-L25,0)))</f>
        <v>140</v>
      </c>
      <c r="R25" s="91" t="str">
        <f t="shared" si="9"/>
        <v>I</v>
      </c>
      <c r="S25" s="24">
        <v>20</v>
      </c>
      <c r="T25" s="179">
        <f t="shared" si="5"/>
        <v>0</v>
      </c>
      <c r="U25" s="175" t="str">
        <f t="shared" si="6"/>
        <v/>
      </c>
      <c r="V25" s="175" t="str">
        <f t="shared" si="7"/>
        <v/>
      </c>
      <c r="W25" s="13" t="str">
        <f t="shared" si="2"/>
        <v/>
      </c>
      <c r="X25" s="13"/>
      <c r="Y25" s="140"/>
      <c r="Z25" s="67" t="s">
        <v>536</v>
      </c>
      <c r="AA25" s="68" t="s">
        <v>537</v>
      </c>
      <c r="AB25" s="68" t="s">
        <v>538</v>
      </c>
      <c r="AC25" s="69" t="s">
        <v>403</v>
      </c>
      <c r="AD25" s="70">
        <v>53144</v>
      </c>
    </row>
    <row r="26" spans="1:31" x14ac:dyDescent="0.35">
      <c r="A26" s="157" t="s">
        <v>650</v>
      </c>
      <c r="B26" s="28" t="s">
        <v>247</v>
      </c>
      <c r="C26" s="4" t="s">
        <v>629</v>
      </c>
      <c r="D26" s="13"/>
      <c r="E26" s="22"/>
      <c r="F26" s="13">
        <v>10</v>
      </c>
      <c r="G26" s="27">
        <f t="shared" si="8"/>
        <v>10</v>
      </c>
      <c r="H26" s="22"/>
      <c r="I26" s="26"/>
      <c r="J26" s="13">
        <v>3</v>
      </c>
      <c r="K26" s="13"/>
      <c r="L26" s="27">
        <f>IF(I26="",0,IF(K26&gt;0,0,IF(I26="A",H26,IF(I26="M",H26*12,IF(I26="W",H26*(Lookups!$B$9+1),IF(I26="B",H26*(+Lookups!$B$10),IF(I26="S",H26*2,IF(AND(H26=0,K26&gt;0),K26,"ERROR"))))))))</f>
        <v>0</v>
      </c>
      <c r="M26" s="22"/>
      <c r="N26" s="26"/>
      <c r="O26" s="13"/>
      <c r="P26" s="27">
        <f>IF(M26="",0,IF(O26&gt;0,0,IF(N26="A",M26,IF(N26="M",M26*12,IF(N26="W",M26*Lookups!B$9,IF(N26="B",M26*+Lookups!B$10,IF(N26="S",M26*2,IF(AND(M26=0,O26&gt;0),O26,"ERROR"))))))))</f>
        <v>0</v>
      </c>
      <c r="Q26" s="149" t="str">
        <f>IF(OR(AND(P26=0,H26=0),O26&gt;0),"",IF(AND(I26="W",N26="W"),ROUND(P26-(H26*Lookups!$B$9),0),ROUND(+P26-L26,0)))</f>
        <v/>
      </c>
      <c r="R26" s="91" t="str">
        <f t="shared" si="9"/>
        <v/>
      </c>
      <c r="S26" s="24"/>
      <c r="T26" s="179" t="str">
        <f t="shared" si="5"/>
        <v/>
      </c>
      <c r="U26" s="175">
        <f t="shared" si="6"/>
        <v>0</v>
      </c>
      <c r="V26" s="175">
        <f t="shared" si="7"/>
        <v>0</v>
      </c>
      <c r="W26" s="13" t="str">
        <f t="shared" si="2"/>
        <v/>
      </c>
      <c r="X26" s="13"/>
      <c r="Y26" s="140"/>
    </row>
    <row r="27" spans="1:31" x14ac:dyDescent="0.35">
      <c r="B27" s="28" t="s">
        <v>70</v>
      </c>
      <c r="C27" s="4" t="s">
        <v>26</v>
      </c>
      <c r="D27" s="13">
        <v>650</v>
      </c>
      <c r="E27" s="22">
        <v>750</v>
      </c>
      <c r="F27" s="13">
        <v>150</v>
      </c>
      <c r="G27" s="27">
        <f t="shared" si="8"/>
        <v>150</v>
      </c>
      <c r="H27" s="22"/>
      <c r="I27" s="26" t="s">
        <v>44</v>
      </c>
      <c r="J27" s="13">
        <v>750</v>
      </c>
      <c r="K27" s="13">
        <v>0</v>
      </c>
      <c r="L27" s="27">
        <f>IF(I27="",0,IF(K27&gt;0,0,IF(I27="A",H27,IF(I27="M",H27*12,IF(I27="W",H27*(Lookups!$B$9+1),IF(I27="B",H27*(+Lookups!$B$10),IF(I27="S",H27*2,IF(AND(H27=0,K27&gt;0),K27,"ERROR"))))))))</f>
        <v>0</v>
      </c>
      <c r="M27" s="22"/>
      <c r="N27" s="26"/>
      <c r="O27" s="13">
        <v>500</v>
      </c>
      <c r="P27" s="27">
        <f>IF(M27="",0,IF(O27&gt;0,0,IF(N27="A",M27,IF(N27="M",M27*12,IF(N27="W",M27*Lookups!B$9,IF(N27="B",M27*+Lookups!B$10,IF(N27="S",M27*2,IF(AND(M27=0,O27&gt;0),O27,"ERROR"))))))))</f>
        <v>0</v>
      </c>
      <c r="Q27" s="149" t="str">
        <f>IF(OR(AND(P27=0,H27=0),O27&gt;0),"",IF(AND(I27="W",N27="W"),ROUND(P27-(H27*Lookups!$B$9),0),ROUND(+P27-L27,0)))</f>
        <v/>
      </c>
      <c r="R27" s="91" t="str">
        <f t="shared" si="9"/>
        <v>E</v>
      </c>
      <c r="S27" s="24"/>
      <c r="T27" s="179" t="str">
        <f t="shared" si="5"/>
        <v/>
      </c>
      <c r="U27" s="175">
        <f t="shared" si="6"/>
        <v>500</v>
      </c>
      <c r="V27" s="175" t="str">
        <f t="shared" si="7"/>
        <v/>
      </c>
      <c r="W27" s="13" t="str">
        <f t="shared" si="2"/>
        <v/>
      </c>
      <c r="X27" s="13"/>
      <c r="Y27" s="140"/>
    </row>
    <row r="28" spans="1:31" x14ac:dyDescent="0.35">
      <c r="B28" s="28" t="s">
        <v>29</v>
      </c>
      <c r="C28" s="4" t="s">
        <v>30</v>
      </c>
      <c r="D28" s="13">
        <v>3525</v>
      </c>
      <c r="E28" s="22">
        <v>4160</v>
      </c>
      <c r="F28" s="13">
        <v>2240</v>
      </c>
      <c r="G28" s="27">
        <f t="shared" si="8"/>
        <v>2240</v>
      </c>
      <c r="H28" s="22">
        <v>80</v>
      </c>
      <c r="I28" s="26" t="s">
        <v>43</v>
      </c>
      <c r="J28" s="13">
        <v>4250</v>
      </c>
      <c r="K28" s="13"/>
      <c r="L28" s="27">
        <f>IF(I28="",0,IF(K28&gt;0,0,IF(I28="A",H28,IF(I28="M",H28*12,IF(I28="W",H28*(Lookups!$B$9+1),IF(I28="B",H28*(+Lookups!$B$10),IF(I28="S",H28*2,IF(AND(H28=0,K28&gt;0),K28,"ERROR"))))))))</f>
        <v>4240</v>
      </c>
      <c r="M28" s="22">
        <v>80</v>
      </c>
      <c r="N28" s="26" t="s">
        <v>43</v>
      </c>
      <c r="O28" s="13"/>
      <c r="P28" s="27">
        <f>IF(M28="",0,IF(O28&gt;0,0,IF(N28="A",M28,IF(N28="M",M28*12,IF(N28="W",M28*Lookups!B$9,IF(N28="B",M28*+Lookups!B$10,IF(N28="S",M28*2,IF(AND(M28=0,O28&gt;0),O28,"ERROR"))))))))</f>
        <v>4160</v>
      </c>
      <c r="Q28" s="149">
        <f>IF(OR(AND(P28=0,H28=0),O28&gt;0),"",IF(AND(I28="W",N28="W"),ROUND(P28-(H28*Lookups!$B$9),0),ROUND(+P28-L28,0)))</f>
        <v>0</v>
      </c>
      <c r="R28" s="91" t="str">
        <f t="shared" si="9"/>
        <v>S</v>
      </c>
      <c r="S28" s="24">
        <v>560</v>
      </c>
      <c r="T28" s="179">
        <f t="shared" si="5"/>
        <v>0</v>
      </c>
      <c r="U28" s="175" t="str">
        <f t="shared" si="6"/>
        <v/>
      </c>
      <c r="V28" s="175" t="str">
        <f t="shared" si="7"/>
        <v/>
      </c>
      <c r="W28" s="13" t="str">
        <f t="shared" si="2"/>
        <v/>
      </c>
      <c r="X28" s="13"/>
      <c r="Y28" s="140"/>
      <c r="Z28" s="67" t="s">
        <v>539</v>
      </c>
      <c r="AA28" s="68" t="s">
        <v>540</v>
      </c>
      <c r="AB28" s="68" t="s">
        <v>402</v>
      </c>
      <c r="AC28" s="69" t="s">
        <v>403</v>
      </c>
      <c r="AD28" s="70">
        <v>53406</v>
      </c>
    </row>
    <row r="29" spans="1:31" ht="14.5" customHeight="1" x14ac:dyDescent="0.35">
      <c r="A29" s="157" t="s">
        <v>650</v>
      </c>
      <c r="B29" s="28" t="s">
        <v>29</v>
      </c>
      <c r="C29" s="4" t="s">
        <v>366</v>
      </c>
      <c r="D29" s="13"/>
      <c r="E29" s="22"/>
      <c r="F29" s="13">
        <v>20</v>
      </c>
      <c r="G29" s="27">
        <f t="shared" si="8"/>
        <v>20</v>
      </c>
      <c r="H29" s="22"/>
      <c r="I29" s="26"/>
      <c r="J29" s="13"/>
      <c r="K29" s="13"/>
      <c r="L29" s="27">
        <f>IF(I29="",0,IF(K29&gt;0,0,IF(I29="A",H29,IF(I29="M",H29*12,IF(I29="W",H29*(Lookups!$B$9+1),IF(I29="B",H29*(+Lookups!$B$10),IF(I29="S",H29*2,IF(AND(H29=0,K29&gt;0),K29,"ERROR"))))))))</f>
        <v>0</v>
      </c>
      <c r="M29" s="22"/>
      <c r="N29" s="26"/>
      <c r="O29" s="13"/>
      <c r="P29" s="27">
        <f>IF(M29="",0,IF(O29&gt;0,0,IF(N29="A",M29,IF(N29="M",M29*12,IF(N29="W",M29*Lookups!B$9,IF(N29="B",M29*+Lookups!B$10,IF(N29="S",M29*2,IF(AND(M29=0,O29&gt;0),O29,"ERROR"))))))))</f>
        <v>0</v>
      </c>
      <c r="Q29" s="149" t="str">
        <f>IF(OR(AND(P29=0,H29=0),O29&gt;0),"",IF(AND(I29="W",N29="W"),ROUND(P29-(H29*Lookups!$B$9),0),ROUND(+P29-L29,0)))</f>
        <v/>
      </c>
      <c r="R29" s="91" t="str">
        <f t="shared" si="9"/>
        <v/>
      </c>
      <c r="S29" s="24"/>
      <c r="T29" s="179" t="str">
        <f t="shared" si="5"/>
        <v/>
      </c>
      <c r="U29" s="175" t="str">
        <f t="shared" si="6"/>
        <v/>
      </c>
      <c r="V29" s="175">
        <f t="shared" si="7"/>
        <v>0</v>
      </c>
      <c r="W29" s="13" t="str">
        <f t="shared" si="2"/>
        <v/>
      </c>
      <c r="X29" s="13"/>
      <c r="Y29" s="140"/>
    </row>
    <row r="30" spans="1:31" x14ac:dyDescent="0.35">
      <c r="B30" s="28" t="s">
        <v>71</v>
      </c>
      <c r="C30" s="4" t="s">
        <v>72</v>
      </c>
      <c r="D30" s="13">
        <v>1080</v>
      </c>
      <c r="E30" s="22">
        <v>1080</v>
      </c>
      <c r="F30" s="13">
        <v>810</v>
      </c>
      <c r="G30" s="27">
        <f t="shared" si="8"/>
        <v>1080</v>
      </c>
      <c r="H30" s="22">
        <v>90</v>
      </c>
      <c r="I30" s="26" t="s">
        <v>44</v>
      </c>
      <c r="J30" s="13">
        <v>1080</v>
      </c>
      <c r="K30" s="13"/>
      <c r="L30" s="27">
        <f>IF(I30="",0,IF(K30&gt;0,0,IF(I30="A",H30,IF(I30="M",H30*12,IF(I30="W",H30*(Lookups!$B$9+1),IF(I30="B",H30*(+Lookups!$B$10),IF(I30="S",H30*2,IF(AND(H30=0,K30&gt;0),K30,"ERROR"))))))))</f>
        <v>1080</v>
      </c>
      <c r="M30" s="22">
        <v>100</v>
      </c>
      <c r="N30" s="26" t="s">
        <v>44</v>
      </c>
      <c r="O30" s="13"/>
      <c r="P30" s="27">
        <f>IF(M30="",0,IF(O30&gt;0,0,IF(N30="A",M30,IF(N30="M",M30*12,IF(N30="W",M30*Lookups!B$9,IF(N30="B",M30*+Lookups!B$10,IF(N30="S",M30*2,IF(AND(M30=0,O30&gt;0),O30,"ERROR"))))))))</f>
        <v>1200</v>
      </c>
      <c r="Q30" s="149">
        <f>IF(OR(AND(P30=0,H30=0),O30&gt;0),"",IF(AND(I30="W",N30="W"),ROUND(P30-(H30*Lookups!$B$9),0),ROUND(+P30-L30,0)))</f>
        <v>120</v>
      </c>
      <c r="R30" s="91" t="str">
        <f t="shared" si="9"/>
        <v>I</v>
      </c>
      <c r="S30" s="24">
        <v>200</v>
      </c>
      <c r="T30" s="179">
        <f t="shared" si="5"/>
        <v>0</v>
      </c>
      <c r="U30" s="175" t="str">
        <f t="shared" si="6"/>
        <v/>
      </c>
      <c r="V30" s="175" t="str">
        <f t="shared" si="7"/>
        <v/>
      </c>
      <c r="W30" s="13" t="str">
        <f t="shared" si="2"/>
        <v/>
      </c>
      <c r="X30" s="13"/>
      <c r="Y30" s="140"/>
      <c r="Z30" s="67" t="s">
        <v>424</v>
      </c>
      <c r="AA30" s="68" t="s">
        <v>425</v>
      </c>
      <c r="AB30" s="68" t="s">
        <v>426</v>
      </c>
      <c r="AC30" s="69" t="s">
        <v>403</v>
      </c>
      <c r="AD30" s="70">
        <v>53402</v>
      </c>
    </row>
    <row r="31" spans="1:31" x14ac:dyDescent="0.35">
      <c r="B31" s="149" t="s">
        <v>32</v>
      </c>
      <c r="C31" s="86" t="s">
        <v>33</v>
      </c>
      <c r="D31" s="87">
        <v>750</v>
      </c>
      <c r="E31" s="88">
        <v>1200</v>
      </c>
      <c r="F31" s="87">
        <v>500</v>
      </c>
      <c r="G31" s="89">
        <f t="shared" si="8"/>
        <v>500</v>
      </c>
      <c r="H31" s="88"/>
      <c r="I31" s="90"/>
      <c r="J31" s="87"/>
      <c r="K31" s="87"/>
      <c r="L31" s="27">
        <f>IF(I31="",0,IF(K31&gt;0,0,IF(I31="A",H31,IF(I31="M",H31*12,IF(I31="W",H31*(Lookups!$B$9+1),IF(I31="B",H31*(+Lookups!$B$10),IF(I31="S",H31*2,IF(AND(H31=0,K31&gt;0),K31,"ERROR"))))))))</f>
        <v>0</v>
      </c>
      <c r="M31" s="88"/>
      <c r="N31" s="90"/>
      <c r="O31" s="87"/>
      <c r="P31" s="27">
        <f>IF(M31="",0,IF(O31&gt;0,0,IF(N31="A",M31,IF(N31="M",M31*12,IF(N31="W",M31*Lookups!B$9,IF(N31="B",M31*+Lookups!B$10,IF(N31="S",M31*2,IF(AND(M31=0,O31&gt;0),O31,"ERROR"))))))))</f>
        <v>0</v>
      </c>
      <c r="Q31" s="149" t="str">
        <f>IF(OR(AND(P31=0,H31=0),O31&gt;0),"",IF(AND(I31="W",N31="W"),ROUND(P31-(H31*Lookups!$B$9),0),ROUND(+P31-L31,0)))</f>
        <v/>
      </c>
      <c r="R31" s="91" t="str">
        <f t="shared" si="9"/>
        <v/>
      </c>
      <c r="S31" s="107"/>
      <c r="T31" s="181" t="str">
        <f t="shared" si="5"/>
        <v/>
      </c>
      <c r="U31" s="177" t="str">
        <f t="shared" si="6"/>
        <v/>
      </c>
      <c r="V31" s="177" t="str">
        <f t="shared" si="7"/>
        <v/>
      </c>
      <c r="W31" s="87" t="str">
        <f t="shared" si="2"/>
        <v/>
      </c>
      <c r="X31" s="87"/>
      <c r="Y31" s="142"/>
      <c r="Z31" s="92"/>
      <c r="AA31" s="92"/>
      <c r="AB31" s="92"/>
      <c r="AC31" s="93"/>
      <c r="AD31" s="94"/>
      <c r="AE31" s="68"/>
    </row>
    <row r="32" spans="1:31" x14ac:dyDescent="0.35">
      <c r="B32" s="173" t="s">
        <v>34</v>
      </c>
      <c r="C32" s="4" t="s">
        <v>35</v>
      </c>
      <c r="D32" s="13">
        <v>600</v>
      </c>
      <c r="E32" s="22">
        <v>600</v>
      </c>
      <c r="F32" s="13">
        <v>650</v>
      </c>
      <c r="G32" s="27">
        <f t="shared" si="8"/>
        <v>650</v>
      </c>
      <c r="H32" s="22">
        <v>50</v>
      </c>
      <c r="I32" s="26" t="s">
        <v>44</v>
      </c>
      <c r="J32" s="13">
        <v>600</v>
      </c>
      <c r="K32" s="13"/>
      <c r="L32" s="27">
        <f>IF(I32="",0,IF(K32&gt;0,0,IF(I32="A",H32,IF(I32="M",H32*12,IF(I32="W",H32*(Lookups!$B$9+1),IF(I32="B",H32*(+Lookups!$B$10),IF(I32="S",H32*2,IF(AND(H32=0,K32&gt;0),K32,"ERROR"))))))))</f>
        <v>600</v>
      </c>
      <c r="M32" s="22">
        <v>50</v>
      </c>
      <c r="N32" s="26" t="s">
        <v>44</v>
      </c>
      <c r="O32" s="13"/>
      <c r="P32" s="27">
        <f>IF(M32="",0,IF(O32&gt;0,0,IF(N32="A",M32,IF(N32="M",M32*12,IF(N32="W",M32*Lookups!B$9,IF(N32="B",M32*+Lookups!B$10,IF(N32="S",M32*2,IF(AND(M32=0,O32&gt;0),O32,"ERROR"))))))))</f>
        <v>600</v>
      </c>
      <c r="Q32" s="149">
        <f>IF(OR(AND(P32=0,H32=0),O32&gt;0),"",IF(AND(I32="W",N32="W"),ROUND(P32-(H32*Lookups!$B$9),0),ROUND(+P32-L32,0)))</f>
        <v>0</v>
      </c>
      <c r="R32" s="91" t="str">
        <f t="shared" si="9"/>
        <v>S</v>
      </c>
      <c r="S32" s="24">
        <v>100</v>
      </c>
      <c r="T32" s="179">
        <f t="shared" si="5"/>
        <v>0</v>
      </c>
      <c r="U32" s="175" t="str">
        <f t="shared" si="6"/>
        <v/>
      </c>
      <c r="V32" s="175" t="str">
        <f t="shared" si="7"/>
        <v/>
      </c>
      <c r="W32" s="13" t="str">
        <f t="shared" si="2"/>
        <v/>
      </c>
      <c r="X32" s="13"/>
      <c r="Y32" s="140"/>
      <c r="Z32" s="67" t="s">
        <v>427</v>
      </c>
      <c r="AA32" s="68" t="s">
        <v>541</v>
      </c>
      <c r="AB32" s="68" t="s">
        <v>428</v>
      </c>
      <c r="AC32" s="69" t="s">
        <v>403</v>
      </c>
      <c r="AD32" s="70">
        <v>53182</v>
      </c>
    </row>
    <row r="33" spans="1:30" x14ac:dyDescent="0.35">
      <c r="B33" s="173" t="s">
        <v>34</v>
      </c>
      <c r="C33" s="4" t="s">
        <v>36</v>
      </c>
      <c r="D33" s="13">
        <v>300</v>
      </c>
      <c r="E33" s="22">
        <v>300</v>
      </c>
      <c r="F33" s="13">
        <v>250</v>
      </c>
      <c r="G33" s="27">
        <f t="shared" si="8"/>
        <v>300</v>
      </c>
      <c r="H33" s="22">
        <v>25</v>
      </c>
      <c r="I33" s="26" t="s">
        <v>44</v>
      </c>
      <c r="J33" s="13">
        <v>275</v>
      </c>
      <c r="K33" s="13"/>
      <c r="L33" s="27">
        <f>IF(I33="",0,IF(K33&gt;0,0,IF(I33="A",H33,IF(I33="M",H33*12,IF(I33="W",H33*(Lookups!$B$9+1),IF(I33="B",H33*(+Lookups!$B$10),IF(I33="S",H33*2,IF(AND(H33=0,K33&gt;0),K33,"ERROR"))))))))</f>
        <v>300</v>
      </c>
      <c r="M33" s="22">
        <v>25</v>
      </c>
      <c r="N33" s="26" t="s">
        <v>44</v>
      </c>
      <c r="O33" s="13"/>
      <c r="P33" s="172">
        <f>IF(M33="",0,IF(O33&gt;0,0,IF(N33="A",M33,IF(N33="M",M33*12,IF(N33="W",M33*Lookups!B$9,IF(N33="B",M33*+Lookups!B$10,IF(N33="S",M33*2,IF(AND(M33=0,O33&gt;0),O33,"ERROR"))))))))</f>
        <v>300</v>
      </c>
      <c r="Q33" s="149">
        <f>IF(OR(AND(P33=0,H33=0),O33&gt;0),"",IF(AND(I33="W",N33="W"),ROUND(P33-(H33*Lookups!$B$9),0),ROUND(+P33-L33,0)))</f>
        <v>0</v>
      </c>
      <c r="R33" s="91" t="str">
        <f t="shared" si="9"/>
        <v>S</v>
      </c>
      <c r="S33" s="24"/>
      <c r="T33" s="179" t="str">
        <f t="shared" si="5"/>
        <v/>
      </c>
      <c r="U33" s="175">
        <f t="shared" si="6"/>
        <v>0</v>
      </c>
      <c r="V33" s="175" t="str">
        <f t="shared" si="7"/>
        <v/>
      </c>
      <c r="W33" s="13" t="str">
        <f t="shared" si="2"/>
        <v/>
      </c>
      <c r="X33" s="13"/>
      <c r="Y33" s="140"/>
      <c r="AA33" s="68" t="s">
        <v>542</v>
      </c>
      <c r="AB33" s="68" t="s">
        <v>538</v>
      </c>
      <c r="AC33" s="69" t="s">
        <v>403</v>
      </c>
      <c r="AD33" s="70">
        <v>53144</v>
      </c>
    </row>
    <row r="34" spans="1:30" x14ac:dyDescent="0.35">
      <c r="B34" s="173" t="s">
        <v>519</v>
      </c>
      <c r="C34" s="4" t="s">
        <v>520</v>
      </c>
      <c r="D34" s="13"/>
      <c r="E34" s="22"/>
      <c r="F34" s="13"/>
      <c r="G34" s="27">
        <f t="shared" si="8"/>
        <v>0</v>
      </c>
      <c r="H34" s="22">
        <v>200</v>
      </c>
      <c r="I34" s="26" t="s">
        <v>44</v>
      </c>
      <c r="J34" s="13">
        <v>2400</v>
      </c>
      <c r="K34" s="13"/>
      <c r="L34" s="27">
        <f>IF(I34="",0,IF(K34&gt;0,0,IF(I34="A",H34,IF(I34="M",H34*12,IF(I34="W",H34*(Lookups!$B$9+1),IF(I34="B",H34*(+Lookups!$B$10),IF(I34="S",H34*2,IF(AND(H34=0,K34&gt;0),K34,"ERROR"))))))))</f>
        <v>2400</v>
      </c>
      <c r="M34" s="22">
        <v>200</v>
      </c>
      <c r="N34" s="26" t="s">
        <v>44</v>
      </c>
      <c r="O34" s="13"/>
      <c r="P34" s="27">
        <f>IF(M34="",0,IF(O34&gt;0,0,IF(N34="A",M34,IF(N34="M",M34*12,IF(N34="W",M34*Lookups!B$9,IF(N34="B",M34*+Lookups!B$10,IF(N34="S",M34*2,IF(AND(M34=0,O34&gt;0),O34,"ERROR"))))))))</f>
        <v>2400</v>
      </c>
      <c r="Q34" s="149">
        <f>IF(OR(AND(P34=0,H34=0),O34&gt;0),"",IF(AND(I34="W",N34="W"),ROUND(P34-(H34*Lookups!$B$9),0),ROUND(+P34-L34,0)))</f>
        <v>0</v>
      </c>
      <c r="R34" s="91" t="str">
        <f t="shared" si="9"/>
        <v>S</v>
      </c>
      <c r="S34" s="24">
        <v>400</v>
      </c>
      <c r="T34" s="179">
        <f t="shared" si="5"/>
        <v>0</v>
      </c>
      <c r="U34" s="175" t="str">
        <f t="shared" si="6"/>
        <v/>
      </c>
      <c r="V34" s="175" t="str">
        <f t="shared" si="7"/>
        <v/>
      </c>
      <c r="W34" s="13" t="str">
        <f t="shared" si="2"/>
        <v/>
      </c>
      <c r="X34" s="13"/>
      <c r="Y34" s="140"/>
      <c r="Z34" s="67" t="s">
        <v>543</v>
      </c>
      <c r="AA34" s="68" t="s">
        <v>544</v>
      </c>
      <c r="AB34" s="68" t="s">
        <v>545</v>
      </c>
      <c r="AC34" s="69" t="s">
        <v>403</v>
      </c>
      <c r="AD34" s="70">
        <v>53402</v>
      </c>
    </row>
    <row r="35" spans="1:30" x14ac:dyDescent="0.35">
      <c r="B35" s="173" t="s">
        <v>37</v>
      </c>
      <c r="C35" s="4" t="s">
        <v>38</v>
      </c>
      <c r="D35" s="13">
        <v>0</v>
      </c>
      <c r="E35" s="22">
        <v>500</v>
      </c>
      <c r="F35" s="13"/>
      <c r="G35" s="124">
        <v>500</v>
      </c>
      <c r="H35" s="22"/>
      <c r="I35" s="26"/>
      <c r="J35" s="13">
        <v>600</v>
      </c>
      <c r="K35" s="13"/>
      <c r="L35" s="27">
        <f>IF(I35="",0,IF(K35&gt;0,0,IF(I35="A",H35,IF(I35="M",H35*12,IF(I35="W",H35*(Lookups!$B$9+1),IF(I35="B",H35*(+Lookups!$B$10),IF(I35="S",H35*2,IF(AND(H35=0,K35&gt;0),K35,"ERROR"))))))))</f>
        <v>0</v>
      </c>
      <c r="M35" s="22"/>
      <c r="N35" s="26"/>
      <c r="O35" s="13">
        <v>500</v>
      </c>
      <c r="P35" s="27">
        <f>IF(M35="",0,IF(O35&gt;0,0,IF(N35="A",M35,IF(N35="M",M35*12,IF(N35="W",M35*Lookups!B$9,IF(N35="B",M35*+Lookups!B$10,IF(N35="S",M35*2,IF(AND(M35=0,O35&gt;0),O35,"ERROR"))))))))</f>
        <v>0</v>
      </c>
      <c r="Q35" s="149" t="str">
        <f>IF(OR(AND(P35=0,H35=0),O35&gt;0),"",IF(AND(I35="W",N35="W"),ROUND(P35-(H35*Lookups!$B$9),0),ROUND(+P35-L35,0)))</f>
        <v/>
      </c>
      <c r="R35" s="91" t="str">
        <f t="shared" si="9"/>
        <v>E</v>
      </c>
      <c r="S35" s="24"/>
      <c r="T35" s="179" t="str">
        <f t="shared" si="5"/>
        <v/>
      </c>
      <c r="U35" s="175">
        <f t="shared" si="6"/>
        <v>500</v>
      </c>
      <c r="V35" s="175" t="str">
        <f t="shared" si="7"/>
        <v/>
      </c>
      <c r="W35" s="13" t="str">
        <f t="shared" si="2"/>
        <v/>
      </c>
      <c r="X35" s="13"/>
      <c r="Y35" s="140"/>
    </row>
    <row r="36" spans="1:30" x14ac:dyDescent="0.35">
      <c r="A36" s="157" t="s">
        <v>650</v>
      </c>
      <c r="B36" s="28" t="s">
        <v>367</v>
      </c>
      <c r="C36" s="4" t="s">
        <v>368</v>
      </c>
      <c r="D36" s="13"/>
      <c r="E36" s="22"/>
      <c r="F36" s="13">
        <v>20</v>
      </c>
      <c r="G36" s="27">
        <f t="shared" ref="G36:G68" si="10">IF(E36=0,F36,IF(AND(F36=0,J36="A"),E36,IF(F36&gt;E36,F36, IF(F36/E36&gt;0.73,E36,F36))))</f>
        <v>20</v>
      </c>
      <c r="H36" s="22"/>
      <c r="I36" s="26"/>
      <c r="J36" s="13"/>
      <c r="K36" s="13"/>
      <c r="L36" s="27">
        <f>IF(I36="",0,IF(K36&gt;0,0,IF(I36="A",H36,IF(I36="M",H36*12,IF(I36="W",H36*(Lookups!$B$9+1),IF(I36="B",H36*(+Lookups!$B$10),IF(I36="S",H36*2,IF(AND(H36=0,K36&gt;0),K36,"ERROR"))))))))</f>
        <v>0</v>
      </c>
      <c r="M36" s="22"/>
      <c r="N36" s="26"/>
      <c r="O36" s="13"/>
      <c r="P36" s="27">
        <f>IF(M36="",0,IF(O36&gt;0,0,IF(N36="A",M36,IF(N36="M",M36*12,IF(N36="W",M36*Lookups!B$9,IF(N36="B",M36*+Lookups!B$10,IF(N36="S",M36*2,IF(AND(M36=0,O36&gt;0),O36,"ERROR"))))))))</f>
        <v>0</v>
      </c>
      <c r="Q36" s="149" t="str">
        <f>IF(OR(AND(P36=0,H36=0),O36&gt;0),"",IF(AND(I36="W",N36="W"),ROUND(P36-(H36*Lookups!$B$9),0),ROUND(+P36-L36,0)))</f>
        <v/>
      </c>
      <c r="R36" s="91" t="str">
        <f t="shared" si="9"/>
        <v/>
      </c>
      <c r="S36" s="24"/>
      <c r="T36" s="179" t="str">
        <f t="shared" si="5"/>
        <v/>
      </c>
      <c r="U36" s="175" t="str">
        <f t="shared" si="6"/>
        <v/>
      </c>
      <c r="V36" s="175">
        <f t="shared" si="7"/>
        <v>0</v>
      </c>
      <c r="W36" s="13" t="str">
        <f t="shared" si="2"/>
        <v/>
      </c>
      <c r="X36" s="13"/>
      <c r="Y36" s="140"/>
    </row>
    <row r="37" spans="1:30" x14ac:dyDescent="0.35">
      <c r="B37" s="166" t="s">
        <v>249</v>
      </c>
      <c r="C37" s="4" t="s">
        <v>652</v>
      </c>
      <c r="D37" s="13">
        <v>1380</v>
      </c>
      <c r="E37" s="22"/>
      <c r="F37" s="13">
        <v>1035</v>
      </c>
      <c r="G37" s="27">
        <f t="shared" si="10"/>
        <v>1035</v>
      </c>
      <c r="H37" s="22">
        <v>120</v>
      </c>
      <c r="I37" s="26" t="s">
        <v>44</v>
      </c>
      <c r="J37" s="13">
        <v>1440</v>
      </c>
      <c r="K37" s="13"/>
      <c r="L37" s="27">
        <f>IF(I37="",0,IF(K37&gt;0,0,IF(I37="A",H37,IF(I37="M",H37*12,IF(I37="W",H37*(Lookups!$B$9+1),IF(I37="B",H37*(+Lookups!$B$10),IF(I37="S",H37*2,IF(AND(H37=0,K37&gt;0),K37,"ERROR"))))))))</f>
        <v>1440</v>
      </c>
      <c r="M37" s="22">
        <v>125</v>
      </c>
      <c r="N37" s="26" t="s">
        <v>44</v>
      </c>
      <c r="O37" s="13"/>
      <c r="P37" s="27">
        <f>IF(M37="",0,IF(O37&gt;0,0,IF(N37="A",M37,IF(N37="M",M37*12,IF(N37="W",M37*Lookups!B$9,IF(N37="B",M37*+Lookups!B$10,IF(N37="S",M37*2,IF(AND(M37=0,O37&gt;0),O37,"ERROR"))))))))</f>
        <v>1500</v>
      </c>
      <c r="Q37" s="149">
        <f>IF(OR(AND(P37=0,H37=0),O37&gt;0),"",IF(AND(I37="W",N37="W"),ROUND(P37-(H37*Lookups!$B$9),0),ROUND(+P37-L37,0)))</f>
        <v>60</v>
      </c>
      <c r="R37" s="91" t="str">
        <f t="shared" si="9"/>
        <v>I</v>
      </c>
      <c r="S37" s="24">
        <v>250</v>
      </c>
      <c r="T37" s="179">
        <f t="shared" si="5"/>
        <v>0</v>
      </c>
      <c r="U37" s="175" t="str">
        <f t="shared" si="6"/>
        <v/>
      </c>
      <c r="V37" s="175" t="str">
        <f t="shared" si="7"/>
        <v/>
      </c>
      <c r="W37" s="13" t="str">
        <f t="shared" si="2"/>
        <v/>
      </c>
      <c r="X37" s="13"/>
      <c r="Y37" s="140"/>
      <c r="Z37" s="67" t="s">
        <v>429</v>
      </c>
      <c r="AA37" s="68" t="s">
        <v>430</v>
      </c>
      <c r="AB37" s="68" t="s">
        <v>426</v>
      </c>
      <c r="AC37" s="69" t="s">
        <v>403</v>
      </c>
      <c r="AD37" s="70">
        <v>53403</v>
      </c>
    </row>
    <row r="38" spans="1:30" x14ac:dyDescent="0.35">
      <c r="B38" s="28" t="s">
        <v>39</v>
      </c>
      <c r="C38" s="4" t="s">
        <v>528</v>
      </c>
      <c r="D38" s="13">
        <v>2640</v>
      </c>
      <c r="E38" s="22">
        <v>2700</v>
      </c>
      <c r="F38" s="13">
        <v>2025</v>
      </c>
      <c r="G38" s="27">
        <f t="shared" si="10"/>
        <v>2700</v>
      </c>
      <c r="H38" s="22">
        <v>220</v>
      </c>
      <c r="I38" s="26" t="s">
        <v>44</v>
      </c>
      <c r="J38" s="13">
        <v>2640</v>
      </c>
      <c r="K38" s="13"/>
      <c r="L38" s="27">
        <f>IF(I38="",0,IF(K38&gt;0,0,IF(I38="A",H38,IF(I38="M",H38*12,IF(I38="W",H38*(Lookups!$B$9+1),IF(I38="B",H38*(+Lookups!$B$10),IF(I38="S",H38*2,IF(AND(H38=0,K38&gt;0),K38,"ERROR"))))))))</f>
        <v>2640</v>
      </c>
      <c r="M38" s="22">
        <v>200</v>
      </c>
      <c r="N38" s="26" t="s">
        <v>44</v>
      </c>
      <c r="O38" s="13"/>
      <c r="P38" s="27">
        <f>IF(M38="",0,IF(O38&gt;0,0,IF(N38="A",M38,IF(N38="M",M38*12,IF(N38="W",M38*Lookups!B$9,IF(N38="B",M38*+Lookups!B$10,IF(N38="S",M38*2,IF(AND(M38=0,O38&gt;0),O38,"ERROR"))))))))</f>
        <v>2400</v>
      </c>
      <c r="Q38" s="149">
        <f>IF(OR(AND(P38=0,H38=0),O38&gt;0),"",IF(AND(I38="W",N38="W"),ROUND(P38-(H38*Lookups!$B$9),0),ROUND(+P38-L38,0)))</f>
        <v>-240</v>
      </c>
      <c r="R38" s="91" t="str">
        <f t="shared" si="9"/>
        <v>D</v>
      </c>
      <c r="S38" s="24">
        <v>400</v>
      </c>
      <c r="T38" s="179">
        <f t="shared" si="5"/>
        <v>0</v>
      </c>
      <c r="U38" s="175" t="str">
        <f t="shared" si="6"/>
        <v/>
      </c>
      <c r="V38" s="175" t="str">
        <f t="shared" si="7"/>
        <v/>
      </c>
      <c r="W38" s="13" t="str">
        <f t="shared" si="2"/>
        <v/>
      </c>
      <c r="X38" s="13"/>
      <c r="Y38" s="140"/>
      <c r="Z38" s="67" t="s">
        <v>546</v>
      </c>
      <c r="AA38" s="68" t="s">
        <v>547</v>
      </c>
      <c r="AB38" s="68" t="s">
        <v>402</v>
      </c>
      <c r="AC38" s="69" t="s">
        <v>403</v>
      </c>
      <c r="AD38" s="70">
        <v>53403</v>
      </c>
    </row>
    <row r="39" spans="1:30" x14ac:dyDescent="0.35">
      <c r="B39" s="28" t="s">
        <v>250</v>
      </c>
      <c r="C39" s="4" t="s">
        <v>42</v>
      </c>
      <c r="D39" s="13">
        <v>3140</v>
      </c>
      <c r="E39" s="22">
        <v>3120</v>
      </c>
      <c r="F39" s="13">
        <v>2340</v>
      </c>
      <c r="G39" s="27">
        <f t="shared" si="10"/>
        <v>3120</v>
      </c>
      <c r="H39" s="22">
        <v>50</v>
      </c>
      <c r="I39" s="26" t="s">
        <v>43</v>
      </c>
      <c r="J39" s="13">
        <v>2700</v>
      </c>
      <c r="K39" s="13"/>
      <c r="L39" s="27">
        <f>IF(I39="",0,IF(K39&gt;0,0,IF(I39="A",H39,IF(I39="M",H39*12,IF(I39="W",H39*(Lookups!$B$9+1),IF(I39="B",H39*(+Lookups!$B$10),IF(I39="S",H39*2,IF(AND(H39=0,K39&gt;0),K39,"ERROR"))))))))</f>
        <v>2650</v>
      </c>
      <c r="M39" s="22">
        <v>55</v>
      </c>
      <c r="N39" s="26" t="s">
        <v>43</v>
      </c>
      <c r="O39" s="13"/>
      <c r="P39" s="27">
        <f>IF(M39="",0,IF(O39&gt;0,0,IF(N39="A",M39,IF(N39="M",M39*12,IF(N39="W",M39*Lookups!B$9,IF(N39="B",M39*+Lookups!B$10,IF(N39="S",M39*2,IF(AND(M39=0,O39&gt;0),O39,"ERROR"))))))))</f>
        <v>2860</v>
      </c>
      <c r="Q39" s="149">
        <f>IF(OR(AND(P39=0,H39=0),O39&gt;0),"",IF(AND(I39="W",N39="W"),ROUND(P39-(H39*Lookups!$B$9),0),ROUND(+P39-L39,0)))</f>
        <v>260</v>
      </c>
      <c r="R39" s="91" t="str">
        <f t="shared" si="9"/>
        <v>I</v>
      </c>
      <c r="S39" s="24">
        <v>440</v>
      </c>
      <c r="T39" s="179">
        <f t="shared" si="5"/>
        <v>0</v>
      </c>
      <c r="U39" s="175" t="str">
        <f t="shared" si="6"/>
        <v/>
      </c>
      <c r="V39" s="175" t="str">
        <f t="shared" si="7"/>
        <v/>
      </c>
      <c r="W39" s="13" t="str">
        <f t="shared" si="2"/>
        <v/>
      </c>
      <c r="X39" s="13"/>
      <c r="Y39" s="140"/>
      <c r="Z39" s="67" t="s">
        <v>548</v>
      </c>
      <c r="AA39" s="68" t="s">
        <v>549</v>
      </c>
      <c r="AB39" s="68" t="s">
        <v>402</v>
      </c>
      <c r="AC39" s="69" t="s">
        <v>403</v>
      </c>
      <c r="AD39" s="70">
        <v>53406</v>
      </c>
    </row>
    <row r="40" spans="1:30" x14ac:dyDescent="0.35">
      <c r="A40" s="157" t="s">
        <v>650</v>
      </c>
      <c r="B40" s="28" t="s">
        <v>251</v>
      </c>
      <c r="C40" s="4" t="s">
        <v>252</v>
      </c>
      <c r="D40" s="13">
        <v>200</v>
      </c>
      <c r="E40" s="22"/>
      <c r="F40" s="13"/>
      <c r="G40" s="27">
        <f t="shared" si="10"/>
        <v>0</v>
      </c>
      <c r="H40" s="22"/>
      <c r="I40" s="26"/>
      <c r="J40" s="13">
        <v>41</v>
      </c>
      <c r="K40" s="13"/>
      <c r="L40" s="27">
        <f>IF(I40="",0,IF(K40&gt;0,0,IF(I40="A",H40,IF(I40="M",H40*12,IF(I40="W",H40*(Lookups!$B$9+1),IF(I40="B",H40*(+Lookups!$B$10),IF(I40="S",H40*2,IF(AND(H40=0,K40&gt;0),K40,"ERROR"))))))))</f>
        <v>0</v>
      </c>
      <c r="M40" s="22"/>
      <c r="N40" s="26"/>
      <c r="O40" s="13"/>
      <c r="P40" s="27">
        <f>IF(M40="",0,IF(O40&gt;0,0,IF(N40="A",M40,IF(N40="M",M40*12,IF(N40="W",M40*Lookups!B$9,IF(N40="B",M40*+Lookups!B$10,IF(N40="S",M40*2,IF(AND(M40=0,O40&gt;0),O40,"ERROR"))))))))</f>
        <v>0</v>
      </c>
      <c r="Q40" s="149" t="str">
        <f>IF(OR(AND(P40=0,H40=0),O40&gt;0),"",IF(AND(I40="W",N40="W"),ROUND(P40-(H40*Lookups!$B$9),0),ROUND(+P40-L40,0)))</f>
        <v/>
      </c>
      <c r="R40" s="91" t="str">
        <f t="shared" si="9"/>
        <v/>
      </c>
      <c r="S40" s="24">
        <v>45</v>
      </c>
      <c r="T40" s="179">
        <f t="shared" si="5"/>
        <v>0</v>
      </c>
      <c r="U40" s="175" t="str">
        <f t="shared" si="6"/>
        <v/>
      </c>
      <c r="V40" s="175" t="str">
        <f t="shared" si="7"/>
        <v/>
      </c>
      <c r="W40" s="13" t="str">
        <f t="shared" si="2"/>
        <v/>
      </c>
      <c r="X40" s="13"/>
      <c r="Y40" s="140"/>
    </row>
    <row r="41" spans="1:30" x14ac:dyDescent="0.35">
      <c r="B41" s="28" t="s">
        <v>253</v>
      </c>
      <c r="C41" s="4" t="s">
        <v>254</v>
      </c>
      <c r="D41" s="13">
        <v>600</v>
      </c>
      <c r="E41" s="22"/>
      <c r="F41" s="13">
        <v>450</v>
      </c>
      <c r="G41" s="27">
        <f t="shared" si="10"/>
        <v>450</v>
      </c>
      <c r="H41" s="22"/>
      <c r="I41" s="26"/>
      <c r="J41" s="13">
        <v>600</v>
      </c>
      <c r="K41" s="13">
        <v>600</v>
      </c>
      <c r="L41" s="27">
        <f>IF(I41="",0,IF(K41&gt;0,0,IF(I41="A",H41,IF(I41="M",H41*12,IF(I41="W",H41*(Lookups!$B$9+1),IF(I41="B",H41*(+Lookups!$B$10),IF(I41="S",H41*2,IF(AND(H41=0,K41&gt;0),K41,"ERROR"))))))))</f>
        <v>0</v>
      </c>
      <c r="M41" s="22"/>
      <c r="N41" s="26"/>
      <c r="O41" s="13">
        <f>50*12</f>
        <v>600</v>
      </c>
      <c r="P41" s="27">
        <f>IF(M41="",0,IF(O41&gt;0,0,IF(N41="A",M41,IF(N41="M",M41*12,IF(N41="W",M41*Lookups!B$9,IF(N41="B",M41*+Lookups!B$10,IF(N41="S",M41*2,IF(AND(M41=0,O41&gt;0),O41,"ERROR"))))))))</f>
        <v>0</v>
      </c>
      <c r="Q41" s="149" t="str">
        <f>IF(OR(AND(P41=0,H41=0),O41&gt;0),"",IF(AND(I41="W",N41="W"),ROUND(P41-(H41*Lookups!$B$9),0),ROUND(+P41-L41,0)))</f>
        <v/>
      </c>
      <c r="R41" s="91" t="str">
        <f t="shared" si="9"/>
        <v>E</v>
      </c>
      <c r="S41" s="24">
        <v>100</v>
      </c>
      <c r="T41" s="179">
        <f t="shared" si="5"/>
        <v>600</v>
      </c>
      <c r="U41" s="175" t="str">
        <f t="shared" si="6"/>
        <v/>
      </c>
      <c r="V41" s="175" t="str">
        <f t="shared" si="7"/>
        <v/>
      </c>
      <c r="W41" s="13" t="str">
        <f t="shared" si="2"/>
        <v/>
      </c>
      <c r="X41" s="13"/>
      <c r="Y41" s="140"/>
    </row>
    <row r="42" spans="1:30" x14ac:dyDescent="0.35">
      <c r="B42" s="28" t="s">
        <v>369</v>
      </c>
      <c r="C42" s="4" t="s">
        <v>370</v>
      </c>
      <c r="D42" s="13"/>
      <c r="E42" s="22"/>
      <c r="F42" s="13">
        <v>100</v>
      </c>
      <c r="G42" s="27">
        <f t="shared" si="10"/>
        <v>100</v>
      </c>
      <c r="H42" s="22"/>
      <c r="I42" s="26"/>
      <c r="J42" s="13">
        <v>170</v>
      </c>
      <c r="K42" s="13"/>
      <c r="L42" s="27">
        <f>IF(I42="",0,IF(K42&gt;0,0,IF(I42="A",H42,IF(I42="M",H42*12,IF(I42="W",H42*(Lookups!$B$9+1),IF(I42="B",H42*(+Lookups!$B$10),IF(I42="S",H42*2,IF(AND(H42=0,K42&gt;0),K42,"ERROR"))))))))</f>
        <v>0</v>
      </c>
      <c r="M42" s="22"/>
      <c r="N42" s="26"/>
      <c r="O42" s="13">
        <v>200</v>
      </c>
      <c r="P42" s="27">
        <f>IF(M42="",0,IF(O42&gt;0,0,IF(N42="A",M42,IF(N42="M",M42*12,IF(N42="W",M42*Lookups!B$9,IF(N42="B",M42*+Lookups!B$10,IF(N42="S",M42*2,IF(AND(M42=0,O42&gt;0),O42,"ERROR"))))))))</f>
        <v>0</v>
      </c>
      <c r="Q42" s="149" t="str">
        <f>IF(OR(AND(P42=0,H42=0),O42&gt;0),"",IF(AND(I42="W",N42="W"),ROUND(P42-(H42*Lookups!$B$9),0),ROUND(+P42-L42,0)))</f>
        <v/>
      </c>
      <c r="R42" s="91" t="str">
        <f t="shared" si="9"/>
        <v>E</v>
      </c>
      <c r="S42" s="24"/>
      <c r="T42" s="179" t="str">
        <f t="shared" si="5"/>
        <v/>
      </c>
      <c r="U42" s="175">
        <f t="shared" si="6"/>
        <v>200</v>
      </c>
      <c r="V42" s="175" t="str">
        <f t="shared" si="7"/>
        <v/>
      </c>
      <c r="W42" s="13" t="str">
        <f t="shared" si="2"/>
        <v/>
      </c>
      <c r="X42" s="13"/>
      <c r="Y42" s="140"/>
    </row>
    <row r="43" spans="1:30" x14ac:dyDescent="0.35">
      <c r="B43" s="166" t="s">
        <v>73</v>
      </c>
      <c r="C43" s="4" t="s">
        <v>74</v>
      </c>
      <c r="D43" s="13">
        <v>2600</v>
      </c>
      <c r="E43" s="22">
        <v>5200</v>
      </c>
      <c r="F43" s="13">
        <v>5200</v>
      </c>
      <c r="G43" s="27">
        <f t="shared" si="10"/>
        <v>5200</v>
      </c>
      <c r="H43" s="22"/>
      <c r="I43" s="26" t="s">
        <v>40</v>
      </c>
      <c r="J43" s="13">
        <v>5000</v>
      </c>
      <c r="K43" s="13">
        <v>5200</v>
      </c>
      <c r="L43" s="27">
        <f>IF(I43="",0,IF(K43&gt;0,0,IF(I43="A",H43,IF(I43="M",H43*12,IF(I43="W",H43*(Lookups!$B$9+1),IF(I43="B",H43*(+Lookups!$B$10),IF(I43="S",H43*2,IF(AND(H43=0,K43&gt;0),K43,"ERROR"))))))))</f>
        <v>0</v>
      </c>
      <c r="M43" s="22"/>
      <c r="N43" s="26"/>
      <c r="O43" s="13">
        <v>5000</v>
      </c>
      <c r="P43" s="27">
        <f>IF(M43="",0,IF(O43&gt;0,0,IF(N43="A",M43,IF(N43="M",M43*12,IF(N43="W",M43*Lookups!B$9,IF(N43="B",M43*+Lookups!B$10,IF(N43="S",M43*2,IF(AND(M43=0,O43&gt;0),O43,"ERROR"))))))))</f>
        <v>0</v>
      </c>
      <c r="Q43" s="149" t="str">
        <f>IF(OR(AND(P43=0,H43=0),O43&gt;0),"",IF(AND(I43="W",N43="W"),ROUND(P43-(H43*Lookups!$B$9),0),ROUND(+P43-L43,0)))</f>
        <v/>
      </c>
      <c r="R43" s="91" t="str">
        <f t="shared" si="9"/>
        <v>E</v>
      </c>
      <c r="S43" s="24">
        <v>5000</v>
      </c>
      <c r="T43" s="179">
        <f t="shared" si="5"/>
        <v>5000</v>
      </c>
      <c r="U43" s="175" t="str">
        <f t="shared" si="6"/>
        <v/>
      </c>
      <c r="V43" s="175" t="str">
        <f t="shared" si="7"/>
        <v/>
      </c>
      <c r="W43" s="13">
        <f>+O43</f>
        <v>5000</v>
      </c>
      <c r="X43" s="13">
        <v>85</v>
      </c>
      <c r="Y43" s="140"/>
    </row>
    <row r="44" spans="1:30" x14ac:dyDescent="0.35">
      <c r="B44" s="28" t="s">
        <v>371</v>
      </c>
      <c r="C44" s="4" t="s">
        <v>372</v>
      </c>
      <c r="D44" s="13"/>
      <c r="E44" s="22"/>
      <c r="F44" s="13">
        <v>25</v>
      </c>
      <c r="G44" s="27">
        <f t="shared" si="10"/>
        <v>25</v>
      </c>
      <c r="H44" s="22"/>
      <c r="I44" s="26"/>
      <c r="J44" s="13"/>
      <c r="K44" s="13"/>
      <c r="L44" s="27">
        <f>IF(I44="",0,IF(K44&gt;0,0,IF(I44="A",H44,IF(I44="M",H44*12,IF(I44="W",H44*(Lookups!$B$9+1),IF(I44="B",H44*(+Lookups!$B$10),IF(I44="S",H44*2,IF(AND(H44=0,K44&gt;0),K44,"ERROR"))))))))</f>
        <v>0</v>
      </c>
      <c r="M44" s="22"/>
      <c r="N44" s="26"/>
      <c r="O44" s="13"/>
      <c r="P44" s="27">
        <f>IF(M44="",0,IF(O44&gt;0,0,IF(N44="A",M44,IF(N44="M",M44*12,IF(N44="W",M44*Lookups!B$9,IF(N44="B",M44*+Lookups!B$10,IF(N44="S",M44*2,IF(AND(M44=0,O44&gt;0),O44,"ERROR"))))))))</f>
        <v>0</v>
      </c>
      <c r="Q44" s="149" t="str">
        <f>IF(OR(AND(P44=0,H44=0),O44&gt;0),"",IF(AND(I44="W",N44="W"),ROUND(P44-(H44*Lookups!$B$9),0),ROUND(+P44-L44,0)))</f>
        <v/>
      </c>
      <c r="R44" s="91" t="str">
        <f t="shared" si="9"/>
        <v/>
      </c>
      <c r="S44" s="24">
        <v>20</v>
      </c>
      <c r="T44" s="179" t="str">
        <f t="shared" si="5"/>
        <v/>
      </c>
      <c r="U44" s="175" t="str">
        <f t="shared" si="6"/>
        <v/>
      </c>
      <c r="V44" s="175">
        <f t="shared" si="7"/>
        <v>120</v>
      </c>
      <c r="W44" s="13" t="str">
        <f t="shared" ref="W44:W51" si="11">IF(X44="","",P44)</f>
        <v/>
      </c>
      <c r="X44" s="13"/>
      <c r="Y44" s="140"/>
    </row>
    <row r="45" spans="1:30" x14ac:dyDescent="0.35">
      <c r="B45" s="28" t="s">
        <v>255</v>
      </c>
      <c r="C45" s="4" t="s">
        <v>158</v>
      </c>
      <c r="D45" s="13">
        <v>120</v>
      </c>
      <c r="E45" s="22"/>
      <c r="F45" s="13"/>
      <c r="G45" s="27">
        <f t="shared" si="10"/>
        <v>0</v>
      </c>
      <c r="H45" s="22"/>
      <c r="I45" s="26"/>
      <c r="J45" s="13">
        <v>420</v>
      </c>
      <c r="K45" s="13"/>
      <c r="L45" s="27">
        <f>IF(I45="",0,IF(K45&gt;0,0,IF(I45="A",H45,IF(I45="M",H45*12,IF(I45="W",H45*(Lookups!$B$9+1),IF(I45="B",H45*(+Lookups!$B$10),IF(I45="S",H45*2,IF(AND(H45=0,K45&gt;0),K45,"ERROR"))))))))</f>
        <v>0</v>
      </c>
      <c r="M45" s="22">
        <v>5</v>
      </c>
      <c r="N45" s="26" t="s">
        <v>43</v>
      </c>
      <c r="O45" s="13"/>
      <c r="P45" s="27">
        <f>IF(M45="",0,IF(O45&gt;0,0,IF(N45="A",M45,IF(N45="M",M45*12,IF(N45="W",M45*Lookups!B$9,IF(N45="B",M45*+Lookups!B$10,IF(N45="S",M45*2,IF(AND(M45=0,O45&gt;0),O45,"ERROR"))))))))</f>
        <v>260</v>
      </c>
      <c r="Q45" s="149">
        <f>IF(OR(AND(P45=0,H45=0),O45&gt;0),"",IF(AND(I45="W",N45="W"),ROUND(P45-(H45*Lookups!$B$9),0),ROUND(+P45-L45,0)))</f>
        <v>260</v>
      </c>
      <c r="R45" s="91" t="str">
        <f t="shared" si="9"/>
        <v>N</v>
      </c>
      <c r="S45" s="24">
        <v>50</v>
      </c>
      <c r="T45" s="179">
        <f t="shared" si="5"/>
        <v>0</v>
      </c>
      <c r="U45" s="175" t="str">
        <f t="shared" si="6"/>
        <v/>
      </c>
      <c r="V45" s="175" t="str">
        <f t="shared" si="7"/>
        <v/>
      </c>
      <c r="W45" s="13" t="str">
        <f t="shared" si="11"/>
        <v/>
      </c>
      <c r="X45" s="13"/>
      <c r="Y45" s="140"/>
      <c r="AA45" s="68" t="s">
        <v>550</v>
      </c>
      <c r="AB45" s="68" t="s">
        <v>426</v>
      </c>
      <c r="AC45" s="69" t="s">
        <v>403</v>
      </c>
      <c r="AD45" s="70">
        <v>53406</v>
      </c>
    </row>
    <row r="46" spans="1:30" x14ac:dyDescent="0.35">
      <c r="B46" s="28" t="s">
        <v>75</v>
      </c>
      <c r="C46" s="4" t="s">
        <v>76</v>
      </c>
      <c r="D46" s="13">
        <v>1680</v>
      </c>
      <c r="E46" s="22">
        <v>1800</v>
      </c>
      <c r="F46" s="13">
        <v>1350</v>
      </c>
      <c r="G46" s="27">
        <f t="shared" si="10"/>
        <v>1800</v>
      </c>
      <c r="H46" s="22">
        <v>150</v>
      </c>
      <c r="I46" s="26" t="s">
        <v>44</v>
      </c>
      <c r="J46" s="13">
        <v>1800</v>
      </c>
      <c r="K46" s="13"/>
      <c r="L46" s="27">
        <f>IF(I46="",0,IF(K46&gt;0,0,IF(I46="A",H46,IF(I46="M",H46*12,IF(I46="W",H46*(Lookups!$B$9+1),IF(I46="B",H46*(+Lookups!$B$10),IF(I46="S",H46*2,IF(AND(H46=0,K46&gt;0),K46,"ERROR"))))))))</f>
        <v>1800</v>
      </c>
      <c r="M46" s="22">
        <v>150</v>
      </c>
      <c r="N46" s="26" t="s">
        <v>44</v>
      </c>
      <c r="O46" s="13"/>
      <c r="P46" s="27">
        <f>IF(M46="",0,IF(O46&gt;0,0,IF(N46="A",M46,IF(N46="M",M46*12,IF(N46="W",M46*Lookups!B$9,IF(N46="B",M46*+Lookups!B$10,IF(N46="S",M46*2,IF(AND(M46=0,O46&gt;0),O46,"ERROR"))))))))</f>
        <v>1800</v>
      </c>
      <c r="Q46" s="149">
        <f>IF(OR(AND(P46=0,H46=0),O46&gt;0),"",IF(AND(I46="W",N46="W"),ROUND(P46-(H46*Lookups!$B$9),0),ROUND(+P46-L46,0)))</f>
        <v>0</v>
      </c>
      <c r="R46" s="91" t="str">
        <f t="shared" si="9"/>
        <v>S</v>
      </c>
      <c r="S46" s="24">
        <v>300</v>
      </c>
      <c r="T46" s="179">
        <f t="shared" si="5"/>
        <v>0</v>
      </c>
      <c r="U46" s="175" t="str">
        <f t="shared" si="6"/>
        <v/>
      </c>
      <c r="V46" s="175" t="str">
        <f t="shared" si="7"/>
        <v/>
      </c>
      <c r="W46" s="13" t="str">
        <f t="shared" si="11"/>
        <v/>
      </c>
      <c r="X46" s="13"/>
      <c r="Y46" s="140"/>
      <c r="Z46" s="67" t="s">
        <v>431</v>
      </c>
      <c r="AA46" s="68" t="s">
        <v>432</v>
      </c>
      <c r="AB46" s="68" t="s">
        <v>402</v>
      </c>
      <c r="AC46" s="69" t="s">
        <v>403</v>
      </c>
      <c r="AD46" s="70" t="s">
        <v>554</v>
      </c>
    </row>
    <row r="47" spans="1:30" x14ac:dyDescent="0.35">
      <c r="B47" s="166" t="s">
        <v>77</v>
      </c>
      <c r="C47" s="4" t="s">
        <v>78</v>
      </c>
      <c r="D47" s="13">
        <v>735</v>
      </c>
      <c r="E47" s="22">
        <v>1560</v>
      </c>
      <c r="F47" s="13">
        <v>445</v>
      </c>
      <c r="G47" s="27">
        <f t="shared" si="10"/>
        <v>445</v>
      </c>
      <c r="H47" s="22"/>
      <c r="I47" s="26" t="s">
        <v>43</v>
      </c>
      <c r="J47" s="13">
        <v>445</v>
      </c>
      <c r="K47" s="13">
        <v>1000</v>
      </c>
      <c r="L47" s="27">
        <f>IF(I47="",0,IF(K47&gt;0,0,IF(I47="A",H47,IF(I47="M",H47*12,IF(I47="W",H47*(Lookups!$B$9+1),IF(I47="B",H47*(+Lookups!$B$10),IF(I47="S",H47*2,IF(AND(H47=0,K47&gt;0),K47,"ERROR"))))))))</f>
        <v>0</v>
      </c>
      <c r="M47" s="22">
        <v>25</v>
      </c>
      <c r="N47" s="26" t="s">
        <v>43</v>
      </c>
      <c r="O47" s="13"/>
      <c r="P47" s="27">
        <f>IF(M47="",0,IF(O47&gt;0,0,IF(N47="A",M47,IF(N47="M",M47*12,IF(N47="W",M47*Lookups!B$9,IF(N47="B",M47*+Lookups!B$10,IF(N47="S",M47*2,IF(AND(M47=0,O47&gt;0),O47,"ERROR"))))))))</f>
        <v>1300</v>
      </c>
      <c r="Q47" s="149">
        <f>IF(OR(AND(P47=0,H47=0),O47&gt;0),"",IF(AND(I47="W",N47="W"),ROUND(P47-(H47*Lookups!$B$9),0),ROUND(+P47-L47,0)))</f>
        <v>1300</v>
      </c>
      <c r="R47" s="91" t="str">
        <f t="shared" si="9"/>
        <v>N</v>
      </c>
      <c r="S47" s="24">
        <v>300</v>
      </c>
      <c r="T47" s="179">
        <f t="shared" si="5"/>
        <v>0</v>
      </c>
      <c r="U47" s="175" t="str">
        <f t="shared" si="6"/>
        <v/>
      </c>
      <c r="V47" s="175" t="str">
        <f t="shared" si="7"/>
        <v/>
      </c>
      <c r="W47" s="13" t="str">
        <f t="shared" si="11"/>
        <v/>
      </c>
      <c r="X47" s="13"/>
      <c r="Y47" s="140"/>
    </row>
    <row r="48" spans="1:30" x14ac:dyDescent="0.35">
      <c r="A48" s="157" t="s">
        <v>650</v>
      </c>
      <c r="B48" s="28" t="s">
        <v>256</v>
      </c>
      <c r="C48" s="4" t="s">
        <v>257</v>
      </c>
      <c r="D48" s="13">
        <v>300</v>
      </c>
      <c r="E48" s="22"/>
      <c r="F48" s="13"/>
      <c r="G48" s="27">
        <f t="shared" si="10"/>
        <v>0</v>
      </c>
      <c r="H48" s="22"/>
      <c r="I48" s="26"/>
      <c r="J48" s="13"/>
      <c r="K48" s="13"/>
      <c r="L48" s="27">
        <f>IF(I48="",0,IF(K48&gt;0,0,IF(I48="A",H48,IF(I48="M",H48*12,IF(I48="W",H48*(Lookups!$B$9+1),IF(I48="B",H48*(+Lookups!$B$10),IF(I48="S",H48*2,IF(AND(H48=0,K48&gt;0),K48,"ERROR"))))))))</f>
        <v>0</v>
      </c>
      <c r="M48" s="22"/>
      <c r="N48" s="26"/>
      <c r="O48" s="13"/>
      <c r="P48" s="27">
        <f>IF(M48="",0,IF(O48&gt;0,0,IF(N48="A",M48,IF(N48="M",M48*12,IF(N48="W",M48*Lookups!B$9,IF(N48="B",M48*+Lookups!B$10,IF(N48="S",M48*2,IF(AND(M48=0,O48&gt;0),O48,"ERROR"))))))))</f>
        <v>0</v>
      </c>
      <c r="Q48" s="149" t="str">
        <f>IF(OR(AND(P48=0,H48=0),O48&gt;0),"",IF(AND(I48="W",N48="W"),ROUND(P48-(H48*Lookups!$B$9),0),ROUND(+P48-L48,0)))</f>
        <v/>
      </c>
      <c r="R48" s="91" t="str">
        <f t="shared" si="9"/>
        <v/>
      </c>
      <c r="S48" s="24"/>
      <c r="T48" s="179" t="str">
        <f t="shared" si="5"/>
        <v/>
      </c>
      <c r="U48" s="175" t="str">
        <f t="shared" si="6"/>
        <v/>
      </c>
      <c r="V48" s="175" t="str">
        <f t="shared" si="7"/>
        <v/>
      </c>
      <c r="W48" s="13" t="str">
        <f t="shared" si="11"/>
        <v/>
      </c>
      <c r="X48" s="13"/>
      <c r="Y48" s="140"/>
    </row>
    <row r="49" spans="1:30" x14ac:dyDescent="0.35">
      <c r="B49" s="28" t="s">
        <v>79</v>
      </c>
      <c r="C49" s="4" t="s">
        <v>80</v>
      </c>
      <c r="D49" s="13">
        <v>300</v>
      </c>
      <c r="E49" s="22">
        <v>360</v>
      </c>
      <c r="F49" s="13">
        <v>240</v>
      </c>
      <c r="G49" s="27">
        <f t="shared" si="10"/>
        <v>240</v>
      </c>
      <c r="H49" s="22">
        <v>50</v>
      </c>
      <c r="I49" s="26" t="s">
        <v>44</v>
      </c>
      <c r="J49" s="13">
        <v>600</v>
      </c>
      <c r="K49" s="13"/>
      <c r="L49" s="27">
        <f>IF(I49="",0,IF(K49&gt;0,0,IF(I49="A",H49,IF(I49="M",H49*12,IF(I49="W",H49*(Lookups!$B$9+1),IF(I49="B",H49*(+Lookups!$B$10),IF(I49="S",H49*2,IF(AND(H49=0,K49&gt;0),K49,"ERROR"))))))))</f>
        <v>600</v>
      </c>
      <c r="M49" s="22">
        <v>50</v>
      </c>
      <c r="N49" s="26" t="s">
        <v>44</v>
      </c>
      <c r="O49" s="13"/>
      <c r="P49" s="27">
        <f>IF(M49="",0,IF(O49&gt;0,0,IF(N49="A",M49,IF(N49="M",M49*12,IF(N49="W",M49*Lookups!B$9,IF(N49="B",M49*+Lookups!B$10,IF(N49="S",M49*2,IF(AND(M49=0,O49&gt;0),O49,"ERROR"))))))))</f>
        <v>600</v>
      </c>
      <c r="Q49" s="149">
        <f>IF(OR(AND(P49=0,H49=0),O49&gt;0),"",IF(AND(I49="W",N49="W"),ROUND(P49-(H49*Lookups!$B$9),0),ROUND(+P49-L49,0)))</f>
        <v>0</v>
      </c>
      <c r="R49" s="91" t="str">
        <f t="shared" si="9"/>
        <v>S</v>
      </c>
      <c r="S49" s="24"/>
      <c r="T49" s="179" t="str">
        <f t="shared" si="5"/>
        <v/>
      </c>
      <c r="U49" s="175">
        <f t="shared" si="6"/>
        <v>0</v>
      </c>
      <c r="V49" s="175" t="str">
        <f t="shared" si="7"/>
        <v/>
      </c>
      <c r="W49" s="13" t="str">
        <f t="shared" si="11"/>
        <v/>
      </c>
      <c r="X49" s="13"/>
      <c r="Y49" s="140"/>
      <c r="Z49" s="67" t="s">
        <v>551</v>
      </c>
      <c r="AA49" s="68" t="s">
        <v>552</v>
      </c>
      <c r="AB49" s="68" t="s">
        <v>426</v>
      </c>
      <c r="AC49" s="69" t="s">
        <v>403</v>
      </c>
      <c r="AD49" s="70">
        <v>53404</v>
      </c>
    </row>
    <row r="50" spans="1:30" x14ac:dyDescent="0.35">
      <c r="B50" s="28" t="s">
        <v>433</v>
      </c>
      <c r="C50" s="4" t="s">
        <v>81</v>
      </c>
      <c r="D50" s="13">
        <v>3600</v>
      </c>
      <c r="E50" s="22">
        <v>3720</v>
      </c>
      <c r="F50" s="13">
        <v>2480</v>
      </c>
      <c r="G50" s="27">
        <f t="shared" si="10"/>
        <v>2480</v>
      </c>
      <c r="H50" s="22">
        <v>320</v>
      </c>
      <c r="I50" s="26" t="s">
        <v>44</v>
      </c>
      <c r="J50" s="13">
        <v>3780</v>
      </c>
      <c r="K50" s="13"/>
      <c r="L50" s="27">
        <f>IF(I50="",0,IF(K50&gt;0,0,IF(I50="A",H50,IF(I50="M",H50*12,IF(I50="W",H50*(Lookups!$B$9+1),IF(I50="B",H50*(+Lookups!$B$10),IF(I50="S",H50*2,IF(AND(H50=0,K50&gt;0),K50,"ERROR"))))))))</f>
        <v>3840</v>
      </c>
      <c r="M50" s="22"/>
      <c r="N50" s="26"/>
      <c r="O50" s="13">
        <v>3500</v>
      </c>
      <c r="P50" s="27">
        <f>IF(M50="",0,IF(O50&gt;0,0,IF(N50="A",M50,IF(N50="M",M50*12,IF(N50="W",M50*Lookups!B$9,IF(N50="B",M50*+Lookups!B$10,IF(N50="S",M50*2,IF(AND(M50=0,O50&gt;0),O50,"ERROR"))))))))</f>
        <v>0</v>
      </c>
      <c r="Q50" s="149" t="str">
        <f>IF(OR(AND(P50=0,H50=0),O50&gt;0),"",IF(AND(I50="W",N50="W"),ROUND(P50-(H50*Lookups!$B$9),0),ROUND(+P50-L50,0)))</f>
        <v/>
      </c>
      <c r="R50" s="91" t="str">
        <f t="shared" si="9"/>
        <v>E</v>
      </c>
      <c r="S50" s="24">
        <v>320</v>
      </c>
      <c r="T50" s="179">
        <f t="shared" si="5"/>
        <v>3500</v>
      </c>
      <c r="U50" s="175" t="str">
        <f t="shared" si="6"/>
        <v/>
      </c>
      <c r="V50" s="175" t="str">
        <f t="shared" si="7"/>
        <v/>
      </c>
      <c r="W50" s="13" t="str">
        <f t="shared" si="11"/>
        <v/>
      </c>
      <c r="X50" s="13"/>
      <c r="Y50" s="140"/>
      <c r="AA50" s="68" t="s">
        <v>434</v>
      </c>
      <c r="AB50" s="68" t="s">
        <v>402</v>
      </c>
      <c r="AC50" s="69" t="s">
        <v>403</v>
      </c>
      <c r="AD50" s="70">
        <v>53406</v>
      </c>
    </row>
    <row r="51" spans="1:30" x14ac:dyDescent="0.35">
      <c r="A51" s="157" t="s">
        <v>650</v>
      </c>
      <c r="B51" s="28" t="s">
        <v>82</v>
      </c>
      <c r="C51" s="4" t="s">
        <v>83</v>
      </c>
      <c r="D51" s="13">
        <v>2652</v>
      </c>
      <c r="E51" s="22">
        <v>2756</v>
      </c>
      <c r="F51" s="13">
        <v>689</v>
      </c>
      <c r="G51" s="27">
        <f t="shared" si="10"/>
        <v>689</v>
      </c>
      <c r="H51" s="22"/>
      <c r="I51" s="26" t="s">
        <v>43</v>
      </c>
      <c r="J51" s="13"/>
      <c r="K51" s="26"/>
      <c r="L51" s="27">
        <f>IF(I51="",0,IF(K51&gt;0,0,IF(I51="A",H51,IF(I51="M",H51*12,IF(I51="W",H51*(Lookups!$B$9+1),IF(I51="B",H51*(+Lookups!$B$10),IF(I51="S",H51*2,IF(AND(H51=0,K51&gt;0),K51,"ERROR"))))))))</f>
        <v>0</v>
      </c>
      <c r="M51" s="22"/>
      <c r="N51" s="26"/>
      <c r="O51" s="26"/>
      <c r="P51" s="27">
        <f>IF(M51="",0,IF(O51&gt;0,0,IF(N51="A",M51,IF(N51="M",M51*12,IF(N51="W",M51*Lookups!B$9,IF(N51="B",M51*+Lookups!B$10,IF(N51="S",M51*2,IF(AND(M51=0,O51&gt;0),O51,"ERROR"))))))))</f>
        <v>0</v>
      </c>
      <c r="Q51" s="149" t="str">
        <f>IF(OR(AND(P51=0,H51=0),O51&gt;0),"",IF(AND(I51="W",N51="W"),ROUND(P51-(H51*Lookups!$B$9),0),ROUND(+P51-L51,0)))</f>
        <v/>
      </c>
      <c r="R51" s="91" t="str">
        <f t="shared" si="9"/>
        <v/>
      </c>
      <c r="S51" s="165"/>
      <c r="T51" s="140" t="str">
        <f t="shared" si="5"/>
        <v/>
      </c>
      <c r="U51" s="175" t="str">
        <f t="shared" si="6"/>
        <v/>
      </c>
      <c r="V51" s="175" t="str">
        <f t="shared" si="7"/>
        <v/>
      </c>
      <c r="W51" s="26" t="str">
        <f t="shared" si="11"/>
        <v/>
      </c>
      <c r="X51" s="26"/>
      <c r="Y51" s="140"/>
    </row>
    <row r="52" spans="1:30" x14ac:dyDescent="0.35">
      <c r="B52" s="173" t="s">
        <v>84</v>
      </c>
      <c r="C52" s="4" t="s">
        <v>85</v>
      </c>
      <c r="D52" s="13">
        <v>6500</v>
      </c>
      <c r="E52" s="22">
        <v>6500</v>
      </c>
      <c r="F52" s="13">
        <v>4875</v>
      </c>
      <c r="G52" s="27">
        <f t="shared" si="10"/>
        <v>6500</v>
      </c>
      <c r="H52" s="22">
        <v>125</v>
      </c>
      <c r="I52" s="26" t="s">
        <v>43</v>
      </c>
      <c r="J52" s="13">
        <v>6500</v>
      </c>
      <c r="K52" s="13"/>
      <c r="L52" s="27">
        <f>IF(I52="",0,IF(K52&gt;0,0,IF(I52="A",H52,IF(I52="M",H52*12,IF(I52="W",H52*(Lookups!$B$9+1),IF(I52="B",H52*(+Lookups!$B$10),IF(I52="S",H52*2,IF(AND(H52=0,K52&gt;0),K52,"ERROR"))))))))</f>
        <v>6625</v>
      </c>
      <c r="M52" s="22"/>
      <c r="N52" s="26"/>
      <c r="O52" s="13">
        <v>6000</v>
      </c>
      <c r="P52" s="27">
        <f>IF(M52="",0,IF(O52&gt;0,0,IF(N52="A",M52,IF(N52="M",M52*12,IF(N52="W",M52*Lookups!B$9,IF(N52="B",M52*+Lookups!B$10,IF(N52="S",M52*2,IF(AND(M52=0,O52&gt;0),O52,"ERROR"))))))))</f>
        <v>0</v>
      </c>
      <c r="Q52" s="149" t="str">
        <f>IF(OR(AND(P52=0,H52=0),O52&gt;0),"",IF(AND(I52="W",N52="W"),ROUND(P52-(H52*Lookups!$B$9),0),ROUND(+P52-L52,0)))</f>
        <v/>
      </c>
      <c r="R52" s="91" t="str">
        <f t="shared" si="9"/>
        <v>E</v>
      </c>
      <c r="S52" s="24"/>
      <c r="T52" s="179" t="str">
        <f t="shared" si="5"/>
        <v/>
      </c>
      <c r="U52" s="175">
        <f t="shared" si="6"/>
        <v>6000</v>
      </c>
      <c r="V52" s="175" t="str">
        <f t="shared" si="7"/>
        <v/>
      </c>
      <c r="W52" s="13">
        <f>+O52</f>
        <v>6000</v>
      </c>
      <c r="X52" s="174" t="s">
        <v>674</v>
      </c>
      <c r="Y52" s="140"/>
    </row>
    <row r="53" spans="1:30" x14ac:dyDescent="0.35">
      <c r="B53" s="28" t="s">
        <v>86</v>
      </c>
      <c r="C53" s="4" t="s">
        <v>87</v>
      </c>
      <c r="D53" s="13">
        <v>240</v>
      </c>
      <c r="E53" s="22">
        <v>240</v>
      </c>
      <c r="F53" s="13">
        <v>120</v>
      </c>
      <c r="G53" s="27">
        <f t="shared" si="10"/>
        <v>120</v>
      </c>
      <c r="H53" s="22">
        <v>20</v>
      </c>
      <c r="I53" s="26" t="s">
        <v>44</v>
      </c>
      <c r="J53" s="13">
        <v>240</v>
      </c>
      <c r="K53" s="13"/>
      <c r="L53" s="27">
        <f>IF(I53="",0,IF(K53&gt;0,0,IF(I53="A",H53,IF(I53="M",H53*12,IF(I53="W",H53*(Lookups!$B$9+1),IF(I53="B",H53*(+Lookups!$B$10),IF(I53="S",H53*2,IF(AND(H53=0,K53&gt;0),K53,"ERROR"))))))))</f>
        <v>240</v>
      </c>
      <c r="M53" s="22">
        <v>20</v>
      </c>
      <c r="N53" s="26" t="s">
        <v>44</v>
      </c>
      <c r="O53" s="13"/>
      <c r="P53" s="27">
        <f>IF(M53="",0,IF(O53&gt;0,0,IF(N53="A",M53,IF(N53="M",M53*12,IF(N53="W",M53*Lookups!B$9,IF(N53="B",M53*+Lookups!B$10,IF(N53="S",M53*2,IF(AND(M53=0,O53&gt;0),O53,"ERROR"))))))))</f>
        <v>240</v>
      </c>
      <c r="Q53" s="149">
        <f>IF(OR(AND(P53=0,H53=0),O53&gt;0),"",IF(AND(I53="W",N53="W"),ROUND(P53-(H53*Lookups!$B$9),0),ROUND(+P53-L53,0)))</f>
        <v>0</v>
      </c>
      <c r="R53" s="91" t="str">
        <f t="shared" si="9"/>
        <v>S</v>
      </c>
      <c r="S53" s="24">
        <v>40</v>
      </c>
      <c r="T53" s="179">
        <f t="shared" si="5"/>
        <v>0</v>
      </c>
      <c r="U53" s="175" t="str">
        <f t="shared" si="6"/>
        <v/>
      </c>
      <c r="V53" s="175" t="str">
        <f t="shared" si="7"/>
        <v/>
      </c>
      <c r="W53" s="13" t="str">
        <f t="shared" ref="W53:W69" si="12">IF(X53="","",P53)</f>
        <v/>
      </c>
      <c r="X53" s="13"/>
      <c r="Y53" s="140"/>
      <c r="AA53" s="68" t="s">
        <v>553</v>
      </c>
      <c r="AB53" s="68" t="s">
        <v>426</v>
      </c>
      <c r="AC53" s="69" t="s">
        <v>403</v>
      </c>
      <c r="AD53" s="70">
        <v>53405</v>
      </c>
    </row>
    <row r="54" spans="1:30" x14ac:dyDescent="0.35">
      <c r="A54" s="157" t="s">
        <v>650</v>
      </c>
      <c r="B54" s="28" t="s">
        <v>88</v>
      </c>
      <c r="C54" s="4" t="s">
        <v>89</v>
      </c>
      <c r="D54" s="13">
        <v>40</v>
      </c>
      <c r="E54" s="22">
        <v>260</v>
      </c>
      <c r="F54" s="13">
        <v>195</v>
      </c>
      <c r="G54" s="27">
        <f t="shared" si="10"/>
        <v>260</v>
      </c>
      <c r="H54" s="22"/>
      <c r="I54" s="26" t="s">
        <v>43</v>
      </c>
      <c r="J54" s="13"/>
      <c r="K54" s="13"/>
      <c r="L54" s="27">
        <f>IF(I54="",0,IF(K54&gt;0,0,IF(I54="A",H54,IF(I54="M",H54*12,IF(I54="W",H54*(Lookups!$B$9+1),IF(I54="B",H54*(+Lookups!$B$10),IF(I54="S",H54*2,IF(AND(H54=0,K54&gt;0),K54,"ERROR"))))))))</f>
        <v>0</v>
      </c>
      <c r="M54" s="22"/>
      <c r="N54" s="26"/>
      <c r="O54" s="13"/>
      <c r="P54" s="27">
        <f>IF(M54="",0,IF(O54&gt;0,0,IF(N54="A",M54,IF(N54="M",M54*12,IF(N54="W",M54*Lookups!B$9,IF(N54="B",M54*+Lookups!B$10,IF(N54="S",M54*2,IF(AND(M54=0,O54&gt;0),O54,"ERROR"))))))))</f>
        <v>0</v>
      </c>
      <c r="Q54" s="149" t="str">
        <f>IF(OR(AND(P54=0,H54=0),O54&gt;0),"",IF(AND(I54="W",N54="W"),ROUND(P54-(H54*Lookups!$B$9),0),ROUND(+P54-L54,0)))</f>
        <v/>
      </c>
      <c r="R54" s="91" t="str">
        <f t="shared" si="9"/>
        <v/>
      </c>
      <c r="S54" s="24"/>
      <c r="T54" s="179" t="str">
        <f t="shared" si="5"/>
        <v/>
      </c>
      <c r="U54" s="175" t="str">
        <f t="shared" si="6"/>
        <v/>
      </c>
      <c r="V54" s="175" t="str">
        <f t="shared" si="7"/>
        <v/>
      </c>
      <c r="W54" s="13" t="str">
        <f t="shared" si="12"/>
        <v/>
      </c>
      <c r="X54" s="13"/>
      <c r="Y54" s="140"/>
    </row>
    <row r="55" spans="1:30" x14ac:dyDescent="0.35">
      <c r="B55" s="28" t="s">
        <v>90</v>
      </c>
      <c r="C55" s="4" t="s">
        <v>91</v>
      </c>
      <c r="D55" s="13">
        <v>3110</v>
      </c>
      <c r="E55" s="22">
        <v>3240</v>
      </c>
      <c r="F55" s="13">
        <v>2430</v>
      </c>
      <c r="G55" s="27">
        <f t="shared" si="10"/>
        <v>3240</v>
      </c>
      <c r="H55" s="22">
        <v>300</v>
      </c>
      <c r="I55" s="26" t="s">
        <v>44</v>
      </c>
      <c r="J55" s="13">
        <v>3600</v>
      </c>
      <c r="K55" s="13"/>
      <c r="L55" s="27">
        <f>IF(I55="",0,IF(K55&gt;0,0,IF(I55="A",H55,IF(I55="M",H55*12,IF(I55="W",H55*(Lookups!$B$9+1),IF(I55="B",H55*(+Lookups!$B$10),IF(I55="S",H55*2,IF(AND(H55=0,K55&gt;0),K55,"ERROR"))))))))</f>
        <v>3600</v>
      </c>
      <c r="M55" s="22">
        <v>300</v>
      </c>
      <c r="N55" s="26" t="s">
        <v>44</v>
      </c>
      <c r="O55" s="13"/>
      <c r="P55" s="27">
        <f>IF(M55="",0,IF(O55&gt;0,0,IF(N55="A",M55,IF(N55="M",M55*12,IF(N55="W",M55*Lookups!B$9,IF(N55="B",M55*+Lookups!B$10,IF(N55="S",M55*2,IF(AND(M55=0,O55&gt;0),O55,"ERROR"))))))))</f>
        <v>3600</v>
      </c>
      <c r="Q55" s="149">
        <f>IF(OR(AND(P55=0,H55=0),O55&gt;0),"",IF(AND(I55="W",N55="W"),ROUND(P55-(H55*Lookups!$B$9),0),ROUND(+P55-L55,0)))</f>
        <v>0</v>
      </c>
      <c r="R55" s="91" t="str">
        <f t="shared" si="9"/>
        <v>S</v>
      </c>
      <c r="S55" s="24">
        <v>600</v>
      </c>
      <c r="T55" s="179">
        <f t="shared" si="5"/>
        <v>0</v>
      </c>
      <c r="U55" s="175" t="str">
        <f t="shared" si="6"/>
        <v/>
      </c>
      <c r="V55" s="175" t="str">
        <f t="shared" si="7"/>
        <v/>
      </c>
      <c r="W55" s="13" t="str">
        <f t="shared" si="12"/>
        <v/>
      </c>
      <c r="X55" s="13"/>
      <c r="Y55" s="140"/>
      <c r="Z55" s="67" t="s">
        <v>435</v>
      </c>
      <c r="AA55" s="68" t="s">
        <v>436</v>
      </c>
      <c r="AB55" s="68" t="s">
        <v>402</v>
      </c>
      <c r="AC55" s="69" t="s">
        <v>403</v>
      </c>
      <c r="AD55" s="70" t="s">
        <v>437</v>
      </c>
    </row>
    <row r="56" spans="1:30" x14ac:dyDescent="0.35">
      <c r="B56" s="28" t="s">
        <v>92</v>
      </c>
      <c r="C56" s="4" t="s">
        <v>93</v>
      </c>
      <c r="D56" s="13">
        <v>2220</v>
      </c>
      <c r="E56" s="22">
        <v>2280</v>
      </c>
      <c r="F56" s="13">
        <v>1710</v>
      </c>
      <c r="G56" s="27">
        <f t="shared" si="10"/>
        <v>2280</v>
      </c>
      <c r="H56" s="22">
        <v>200</v>
      </c>
      <c r="I56" s="26" t="s">
        <v>44</v>
      </c>
      <c r="J56" s="13">
        <v>2400</v>
      </c>
      <c r="K56" s="13"/>
      <c r="L56" s="27">
        <f>IF(I56="",0,IF(K56&gt;0,0,IF(I56="A",H56,IF(I56="M",H56*12,IF(I56="W",H56*(Lookups!$B$9+1),IF(I56="B",H56*(+Lookups!$B$10),IF(I56="S",H56*2,IF(AND(H56=0,K56&gt;0),K56,"ERROR"))))))))</f>
        <v>2400</v>
      </c>
      <c r="M56" s="22">
        <v>200</v>
      </c>
      <c r="N56" s="26" t="s">
        <v>44</v>
      </c>
      <c r="O56" s="13"/>
      <c r="P56" s="27">
        <f>IF(M56="",0,IF(O56&gt;0,0,IF(N56="A",M56,IF(N56="M",M56*12,IF(N56="W",M56*Lookups!B$9,IF(N56="B",M56*+Lookups!B$10,IF(N56="S",M56*2,IF(AND(M56=0,O56&gt;0),O56,"ERROR"))))))))</f>
        <v>2400</v>
      </c>
      <c r="Q56" s="149">
        <f>IF(OR(AND(P56=0,H56=0),O56&gt;0),"",IF(AND(I56="W",N56="W"),ROUND(P56-(H56*Lookups!$B$9),0),ROUND(+P56-L56,0)))</f>
        <v>0</v>
      </c>
      <c r="R56" s="91" t="str">
        <f t="shared" si="9"/>
        <v>S</v>
      </c>
      <c r="S56" s="24">
        <v>400</v>
      </c>
      <c r="T56" s="179">
        <f t="shared" si="5"/>
        <v>0</v>
      </c>
      <c r="U56" s="175" t="str">
        <f t="shared" si="6"/>
        <v/>
      </c>
      <c r="V56" s="175" t="str">
        <f t="shared" si="7"/>
        <v/>
      </c>
      <c r="W56" s="13" t="str">
        <f t="shared" si="12"/>
        <v/>
      </c>
      <c r="X56" s="13"/>
      <c r="Y56" s="140"/>
      <c r="AA56" s="68" t="s">
        <v>438</v>
      </c>
      <c r="AB56" s="68" t="s">
        <v>426</v>
      </c>
      <c r="AC56" s="69" t="s">
        <v>403</v>
      </c>
      <c r="AD56" s="70" t="s">
        <v>439</v>
      </c>
    </row>
    <row r="57" spans="1:30" x14ac:dyDescent="0.35">
      <c r="B57" s="28" t="s">
        <v>92</v>
      </c>
      <c r="C57" s="4" t="s">
        <v>258</v>
      </c>
      <c r="D57" s="13">
        <v>200</v>
      </c>
      <c r="E57" s="22"/>
      <c r="F57" s="13">
        <v>200</v>
      </c>
      <c r="G57" s="27">
        <f t="shared" si="10"/>
        <v>200</v>
      </c>
      <c r="H57" s="22"/>
      <c r="I57" s="26"/>
      <c r="J57" s="13">
        <v>500</v>
      </c>
      <c r="K57" s="13"/>
      <c r="L57" s="27">
        <f>IF(I57="",0,IF(K57&gt;0,0,IF(I57="A",H57,IF(I57="M",H57*12,IF(I57="W",H57*(Lookups!$B$9+1),IF(I57="B",H57*(+Lookups!$B$10),IF(I57="S",H57*2,IF(AND(H57=0,K57&gt;0),K57,"ERROR"))))))))</f>
        <v>0</v>
      </c>
      <c r="M57" s="22"/>
      <c r="N57" s="26"/>
      <c r="O57" s="13">
        <v>500</v>
      </c>
      <c r="P57" s="27">
        <f>IF(M57="",0,IF(O57&gt;0,0,IF(N57="A",M57,IF(N57="M",M57*12,IF(N57="W",M57*Lookups!B$9,IF(N57="B",M57*+Lookups!B$10,IF(N57="S",M57*2,IF(AND(M57=0,O57&gt;0),O57,"ERROR"))))))))</f>
        <v>0</v>
      </c>
      <c r="Q57" s="149" t="str">
        <f>IF(OR(AND(P57=0,H57=0),O57&gt;0),"",IF(AND(I57="W",N57="W"),ROUND(P57-(H57*Lookups!$B$9),0),ROUND(+P57-L57,0)))</f>
        <v/>
      </c>
      <c r="R57" s="91" t="str">
        <f t="shared" si="9"/>
        <v>E</v>
      </c>
      <c r="S57" s="24"/>
      <c r="T57" s="179" t="str">
        <f t="shared" si="5"/>
        <v/>
      </c>
      <c r="U57" s="175">
        <f t="shared" si="6"/>
        <v>500</v>
      </c>
      <c r="V57" s="175" t="str">
        <f t="shared" si="7"/>
        <v/>
      </c>
      <c r="W57" s="13" t="str">
        <f t="shared" si="12"/>
        <v/>
      </c>
      <c r="X57" s="13"/>
      <c r="Y57" s="140"/>
    </row>
    <row r="58" spans="1:30" x14ac:dyDescent="0.35">
      <c r="B58" s="28" t="s">
        <v>682</v>
      </c>
      <c r="C58" s="4" t="s">
        <v>683</v>
      </c>
      <c r="D58" s="13">
        <v>0</v>
      </c>
      <c r="E58" s="22"/>
      <c r="F58" s="13">
        <v>0</v>
      </c>
      <c r="G58" s="27">
        <f t="shared" ref="G58" si="13">IF(E58=0,F58,IF(AND(F58=0,J58="A"),E58,IF(F58&gt;E58,F58, IF(F58/E58&gt;0.73,E58,F58))))</f>
        <v>0</v>
      </c>
      <c r="H58" s="22"/>
      <c r="I58" s="26"/>
      <c r="J58" s="13">
        <v>15</v>
      </c>
      <c r="K58" s="13"/>
      <c r="L58" s="27">
        <f>IF(I58="",0,IF(K58&gt;0,0,IF(I58="A",H58,IF(I58="M",H58*12,IF(I58="W",H58*(Lookups!$B$9+1),IF(I58="B",H58*(+Lookups!$B$10),IF(I58="S",H58*2,IF(AND(H58=0,K58&gt;0),K58,"ERROR"))))))))</f>
        <v>0</v>
      </c>
      <c r="M58" s="22"/>
      <c r="N58" s="26"/>
      <c r="O58" s="13"/>
      <c r="P58" s="27">
        <f>IF(M58="",0,IF(O58&gt;0,0,IF(N58="A",M58,IF(N58="M",M58*12,IF(N58="W",M58*Lookups!B$9,IF(N58="B",M58*+Lookups!B$10,IF(N58="S",M58*2,IF(AND(M58=0,O58&gt;0),O58,"ERROR"))))))))</f>
        <v>0</v>
      </c>
      <c r="Q58" s="149" t="str">
        <f>IF(OR(AND(P58=0,H58=0),O58&gt;0),"",IF(AND(I58="W",N58="W"),ROUND(P58-(H58*Lookups!$B$9),0),ROUND(+P58-L58,0)))</f>
        <v/>
      </c>
      <c r="R58" s="91" t="str">
        <f t="shared" ref="R58" si="14">IF(AND(O58&gt;0,J58&gt;0),"E",IF(Q58="","",IF(Q58=0,"S",IF(AND(Q58&gt;0,NOT(H58=0)),"I",IF(AND(Q58&gt;0,H58=0),"N",IF(Q58&lt;0,"D","ERROR"))))))</f>
        <v/>
      </c>
      <c r="S58" s="24"/>
      <c r="T58" s="179" t="str">
        <f t="shared" ref="T58" si="15">IF(AND(S58&gt;0,J58&gt;0),O58,"")</f>
        <v/>
      </c>
      <c r="U58" s="175">
        <f t="shared" ref="U58" si="16">IF(AND(S58&lt;1,J58&gt;0),O58,"")</f>
        <v>0</v>
      </c>
      <c r="V58" s="175">
        <f t="shared" si="7"/>
        <v>0</v>
      </c>
      <c r="W58" s="13" t="str">
        <f t="shared" ref="W58" si="17">IF(X58="","",P58)</f>
        <v/>
      </c>
      <c r="X58" s="13"/>
      <c r="Y58" s="140"/>
    </row>
    <row r="59" spans="1:30" x14ac:dyDescent="0.35">
      <c r="B59" s="166" t="s">
        <v>94</v>
      </c>
      <c r="C59" s="4" t="s">
        <v>95</v>
      </c>
      <c r="D59" s="13">
        <v>1300</v>
      </c>
      <c r="E59" s="22">
        <v>2340</v>
      </c>
      <c r="F59" s="13">
        <v>1755</v>
      </c>
      <c r="G59" s="27">
        <f t="shared" si="10"/>
        <v>2340</v>
      </c>
      <c r="H59" s="22">
        <v>50</v>
      </c>
      <c r="I59" s="26" t="s">
        <v>43</v>
      </c>
      <c r="J59" s="13">
        <v>2600</v>
      </c>
      <c r="K59" s="13"/>
      <c r="L59" s="27">
        <f>IF(I59="",0,IF(K59&gt;0,0,IF(I59="A",H59,IF(I59="M",H59*12,IF(I59="W",H59*(Lookups!$B$9+1),IF(I59="B",H59*(+Lookups!$B$10),IF(I59="S",H59*2,IF(AND(H59=0,K59&gt;0),K59,"ERROR"))))))))</f>
        <v>2650</v>
      </c>
      <c r="M59" s="22"/>
      <c r="N59" s="26"/>
      <c r="O59" s="13">
        <v>2600</v>
      </c>
      <c r="P59" s="27">
        <f>IF(M59="",0,IF(O59&gt;0,0,IF(N59="A",M59,IF(N59="M",M59*12,IF(N59="W",M59*Lookups!B$9,IF(N59="B",M59*+Lookups!B$10,IF(N59="S",M59*2,IF(AND(M59=0,O59&gt;0),O59,"ERROR"))))))))</f>
        <v>0</v>
      </c>
      <c r="Q59" s="149" t="str">
        <f>IF(OR(AND(P59=0,H59=0),O59&gt;0),"",IF(AND(I59="W",N59="W"),ROUND(P59-(H59*Lookups!$B$9),0),ROUND(+P59-L59,0)))</f>
        <v/>
      </c>
      <c r="R59" s="91" t="str">
        <f t="shared" si="9"/>
        <v>E</v>
      </c>
      <c r="S59" s="24">
        <v>450</v>
      </c>
      <c r="T59" s="179">
        <f t="shared" si="5"/>
        <v>2600</v>
      </c>
      <c r="U59" s="175" t="str">
        <f t="shared" si="6"/>
        <v/>
      </c>
      <c r="V59" s="175" t="str">
        <f t="shared" si="7"/>
        <v/>
      </c>
      <c r="W59" s="13" t="str">
        <f t="shared" si="12"/>
        <v/>
      </c>
      <c r="X59" s="13"/>
      <c r="Y59" s="140"/>
    </row>
    <row r="60" spans="1:30" x14ac:dyDescent="0.35">
      <c r="B60" s="166" t="s">
        <v>96</v>
      </c>
      <c r="C60" s="4" t="s">
        <v>97</v>
      </c>
      <c r="D60" s="13">
        <v>1250</v>
      </c>
      <c r="E60" s="22">
        <v>1560</v>
      </c>
      <c r="F60" s="13">
        <v>780</v>
      </c>
      <c r="G60" s="27">
        <f t="shared" si="10"/>
        <v>780</v>
      </c>
      <c r="H60" s="22">
        <v>35</v>
      </c>
      <c r="I60" s="26" t="s">
        <v>43</v>
      </c>
      <c r="J60" s="13">
        <v>1290</v>
      </c>
      <c r="K60" s="13"/>
      <c r="L60" s="27">
        <f>IF(I60="",0,IF(K60&gt;0,0,IF(I60="A",H60,IF(I60="M",H60*12,IF(I60="W",H60*(Lookups!$B$9+1),IF(I60="B",H60*(+Lookups!$B$10),IF(I60="S",H60*2,IF(AND(H60=0,K60&gt;0),K60,"ERROR"))))))))</f>
        <v>1855</v>
      </c>
      <c r="M60" s="22">
        <v>40</v>
      </c>
      <c r="N60" s="26" t="s">
        <v>43</v>
      </c>
      <c r="O60" s="13"/>
      <c r="P60" s="27">
        <f>IF(M60="",0,IF(O60&gt;0,0,IF(N60="A",M60,IF(N60="M",M60*12,IF(N60="W",M60*Lookups!B$9,IF(N60="B",M60*+Lookups!B$10,IF(N60="S",M60*2,IF(AND(M60=0,O60&gt;0),O60,"ERROR"))))))))</f>
        <v>2080</v>
      </c>
      <c r="Q60" s="149">
        <f>IF(OR(AND(P60=0,H60=0),O60&gt;0),"",IF(AND(I60="W",N60="W"),ROUND(P60-(H60*Lookups!$B$9),0),ROUND(+P60-L60,0)))</f>
        <v>260</v>
      </c>
      <c r="R60" s="91" t="str">
        <f t="shared" si="9"/>
        <v>I</v>
      </c>
      <c r="S60" s="24">
        <v>235</v>
      </c>
      <c r="T60" s="179">
        <f t="shared" si="5"/>
        <v>0</v>
      </c>
      <c r="U60" s="175" t="str">
        <f t="shared" si="6"/>
        <v/>
      </c>
      <c r="V60" s="175" t="str">
        <f t="shared" si="7"/>
        <v/>
      </c>
      <c r="W60" s="13" t="str">
        <f t="shared" si="12"/>
        <v/>
      </c>
      <c r="X60" s="13"/>
      <c r="Y60" s="140"/>
      <c r="AA60" s="68" t="s">
        <v>440</v>
      </c>
      <c r="AB60" s="68" t="s">
        <v>402</v>
      </c>
      <c r="AC60" s="69" t="s">
        <v>403</v>
      </c>
      <c r="AD60" s="70">
        <v>53406</v>
      </c>
    </row>
    <row r="61" spans="1:30" x14ac:dyDescent="0.35">
      <c r="B61" s="166" t="s">
        <v>98</v>
      </c>
      <c r="C61" s="4" t="s">
        <v>529</v>
      </c>
      <c r="D61" s="13">
        <v>3000</v>
      </c>
      <c r="E61" s="22">
        <v>2400</v>
      </c>
      <c r="F61" s="13">
        <v>3743.75</v>
      </c>
      <c r="G61" s="27">
        <f t="shared" si="10"/>
        <v>3743.75</v>
      </c>
      <c r="H61" s="22">
        <v>3000</v>
      </c>
      <c r="I61" s="26" t="s">
        <v>40</v>
      </c>
      <c r="J61" s="13">
        <v>5975</v>
      </c>
      <c r="K61" s="13"/>
      <c r="L61" s="27">
        <f>IF(I61="",0,IF(K61&gt;0,0,IF(I61="A",H61,IF(I61="M",H61*12,IF(I61="W",H61*(Lookups!$B$9+1),IF(I61="B",H61*(+Lookups!$B$10),IF(I61="S",H61*2,IF(AND(H61=0,K61&gt;0),K61,"ERROR"))))))))</f>
        <v>3000</v>
      </c>
      <c r="M61" s="22">
        <v>5000</v>
      </c>
      <c r="N61" s="26" t="s">
        <v>40</v>
      </c>
      <c r="O61" s="13"/>
      <c r="P61" s="172">
        <f>IF(M61="",0,IF(O61&gt;0,0,IF(N61="A",M61,IF(N61="M",M61*12,IF(N61="W",M61*Lookups!B$9,IF(N61="B",M61*+Lookups!B$10,IF(N61="S",M61*2,IF(AND(M61=0,O61&gt;0),O61,"ERROR"))))))))</f>
        <v>5000</v>
      </c>
      <c r="Q61" s="149">
        <f>IF(OR(AND(P61=0,H61=0),O61&gt;0),"",IF(AND(I61="W",N61="W"),ROUND(P61-(H61*Lookups!$B$9),0),ROUND(+P61-L61,0)))</f>
        <v>2000</v>
      </c>
      <c r="R61" s="91" t="str">
        <f t="shared" si="9"/>
        <v>I</v>
      </c>
      <c r="S61" s="24"/>
      <c r="T61" s="179" t="str">
        <f t="shared" si="5"/>
        <v/>
      </c>
      <c r="U61" s="175">
        <f t="shared" si="6"/>
        <v>0</v>
      </c>
      <c r="V61" s="175" t="str">
        <f t="shared" si="7"/>
        <v/>
      </c>
      <c r="W61" s="13">
        <f t="shared" si="12"/>
        <v>5000</v>
      </c>
      <c r="X61" s="174" t="s">
        <v>675</v>
      </c>
      <c r="Y61" s="140"/>
      <c r="Z61" s="67" t="s">
        <v>441</v>
      </c>
      <c r="AA61" s="68" t="s">
        <v>442</v>
      </c>
      <c r="AB61" s="68" t="s">
        <v>426</v>
      </c>
      <c r="AC61" s="69" t="s">
        <v>403</v>
      </c>
      <c r="AD61" s="70">
        <v>53402</v>
      </c>
    </row>
    <row r="62" spans="1:30" x14ac:dyDescent="0.35">
      <c r="B62" s="166" t="s">
        <v>99</v>
      </c>
      <c r="C62" s="4" t="s">
        <v>100</v>
      </c>
      <c r="D62" s="13">
        <v>260</v>
      </c>
      <c r="E62" s="22">
        <v>260</v>
      </c>
      <c r="F62" s="13">
        <v>200</v>
      </c>
      <c r="G62" s="27">
        <f t="shared" si="10"/>
        <v>260</v>
      </c>
      <c r="H62" s="22">
        <v>5</v>
      </c>
      <c r="I62" s="26" t="s">
        <v>43</v>
      </c>
      <c r="J62" s="13">
        <v>265</v>
      </c>
      <c r="K62" s="13"/>
      <c r="L62" s="27">
        <f>IF(I62="",0,IF(K62&gt;0,0,IF(I62="A",H62,IF(I62="M",H62*12,IF(I62="W",H62*(Lookups!$B$9+1),IF(I62="B",H62*(+Lookups!$B$10),IF(I62="S",H62*2,IF(AND(H62=0,K62&gt;0),K62,"ERROR"))))))))</f>
        <v>265</v>
      </c>
      <c r="M62" s="22">
        <v>5</v>
      </c>
      <c r="N62" s="26" t="s">
        <v>43</v>
      </c>
      <c r="O62" s="13"/>
      <c r="P62" s="27">
        <f>IF(M62="",0,IF(O62&gt;0,0,IF(N62="A",M62,IF(N62="M",M62*12,IF(N62="W",M62*Lookups!B$9,IF(N62="B",M62*+Lookups!B$10,IF(N62="S",M62*2,IF(AND(M62=0,O62&gt;0),O62,"ERROR"))))))))</f>
        <v>260</v>
      </c>
      <c r="Q62" s="149">
        <f>IF(OR(AND(P62=0,H62=0),O62&gt;0),"",IF(AND(I62="W",N62="W"),ROUND(P62-(H62*Lookups!$B$9),0),ROUND(+P62-L62,0)))</f>
        <v>0</v>
      </c>
      <c r="R62" s="91" t="str">
        <f t="shared" si="9"/>
        <v>S</v>
      </c>
      <c r="S62" s="24">
        <v>40</v>
      </c>
      <c r="T62" s="179">
        <f t="shared" si="5"/>
        <v>0</v>
      </c>
      <c r="U62" s="175" t="str">
        <f t="shared" si="6"/>
        <v/>
      </c>
      <c r="V62" s="175" t="str">
        <f t="shared" si="7"/>
        <v/>
      </c>
      <c r="W62" s="13" t="str">
        <f t="shared" si="12"/>
        <v/>
      </c>
      <c r="X62" s="13"/>
      <c r="Y62" s="140"/>
      <c r="Z62" s="67" t="s">
        <v>443</v>
      </c>
      <c r="AA62" s="68" t="s">
        <v>444</v>
      </c>
      <c r="AB62" s="68" t="s">
        <v>426</v>
      </c>
      <c r="AC62" s="69" t="s">
        <v>403</v>
      </c>
      <c r="AD62" s="70">
        <v>53402</v>
      </c>
    </row>
    <row r="63" spans="1:30" x14ac:dyDescent="0.35">
      <c r="B63" s="166" t="s">
        <v>259</v>
      </c>
      <c r="C63" s="4" t="s">
        <v>260</v>
      </c>
      <c r="D63" s="13">
        <v>45</v>
      </c>
      <c r="E63" s="22"/>
      <c r="F63" s="13">
        <v>35</v>
      </c>
      <c r="G63" s="27">
        <f t="shared" si="10"/>
        <v>35</v>
      </c>
      <c r="H63" s="22"/>
      <c r="I63" s="26"/>
      <c r="J63" s="13">
        <v>95</v>
      </c>
      <c r="K63" s="13"/>
      <c r="L63" s="27">
        <f>IF(I63="",0,IF(K63&gt;0,0,IF(I63="A",H63,IF(I63="M",H63*12,IF(I63="W",H63*(Lookups!$B$9+1),IF(I63="B",H63*(+Lookups!$B$10),IF(I63="S",H63*2,IF(AND(H63=0,K63&gt;0),K63,"ERROR"))))))))</f>
        <v>0</v>
      </c>
      <c r="M63" s="22"/>
      <c r="N63" s="26"/>
      <c r="O63" s="13"/>
      <c r="P63" s="27">
        <f>IF(M63="",0,IF(O63&gt;0,0,IF(N63="A",M63,IF(N63="M",M63*12,IF(N63="W",M63*Lookups!B$9,IF(N63="B",M63*+Lookups!B$10,IF(N63="S",M63*2,IF(AND(M63=0,O63&gt;0),O63,"ERROR"))))))))</f>
        <v>0</v>
      </c>
      <c r="Q63" s="149" t="str">
        <f>IF(OR(AND(P63=0,H63=0),O63&gt;0),"",IF(AND(I63="W",N63="W"),ROUND(P63-(H63*Lookups!$B$9),0),ROUND(+P63-L63,0)))</f>
        <v/>
      </c>
      <c r="R63" s="91" t="str">
        <f t="shared" si="9"/>
        <v/>
      </c>
      <c r="S63" s="24">
        <v>20</v>
      </c>
      <c r="T63" s="179">
        <f t="shared" si="5"/>
        <v>0</v>
      </c>
      <c r="U63" s="175" t="str">
        <f t="shared" si="6"/>
        <v/>
      </c>
      <c r="V63" s="175" t="str">
        <f t="shared" si="7"/>
        <v/>
      </c>
      <c r="W63" s="13" t="str">
        <f t="shared" si="12"/>
        <v/>
      </c>
      <c r="X63" s="13"/>
      <c r="Y63" s="140"/>
    </row>
    <row r="64" spans="1:30" x14ac:dyDescent="0.35">
      <c r="B64" s="166" t="s">
        <v>101</v>
      </c>
      <c r="C64" s="4" t="s">
        <v>366</v>
      </c>
      <c r="D64" s="13">
        <v>3000</v>
      </c>
      <c r="E64" s="22">
        <v>3600</v>
      </c>
      <c r="F64" s="13">
        <v>2700</v>
      </c>
      <c r="G64" s="27">
        <f t="shared" si="10"/>
        <v>3600</v>
      </c>
      <c r="H64" s="22">
        <v>300</v>
      </c>
      <c r="I64" s="26" t="s">
        <v>44</v>
      </c>
      <c r="J64" s="13">
        <v>3600</v>
      </c>
      <c r="K64" s="13"/>
      <c r="L64" s="27">
        <f>IF(I64="",0,IF(K64&gt;0,0,IF(I64="A",H64,IF(I64="M",H64*12,IF(I64="W",H64*(Lookups!$B$9+1),IF(I64="B",H64*(+Lookups!$B$10),IF(I64="S",H64*2,IF(AND(H64=0,K64&gt;0),K64,"ERROR"))))))))</f>
        <v>3600</v>
      </c>
      <c r="M64" s="22">
        <v>300</v>
      </c>
      <c r="N64" s="26" t="s">
        <v>44</v>
      </c>
      <c r="O64" s="13"/>
      <c r="P64" s="27">
        <f>IF(M64="",0,IF(O64&gt;0,0,IF(N64="A",M64,IF(N64="M",M64*12,IF(N64="W",M64*Lookups!B$9,IF(N64="B",M64*+Lookups!B$10,IF(N64="S",M64*2,IF(AND(M64=0,O64&gt;0),O64,"ERROR"))))))))</f>
        <v>3600</v>
      </c>
      <c r="Q64" s="149">
        <f>IF(OR(AND(P64=0,H64=0),O64&gt;0),"",IF(AND(I64="W",N64="W"),ROUND(P64-(H64*Lookups!$B$9),0),ROUND(+P64-L64,0)))</f>
        <v>0</v>
      </c>
      <c r="R64" s="91" t="str">
        <f t="shared" si="9"/>
        <v>S</v>
      </c>
      <c r="S64" s="24">
        <v>400</v>
      </c>
      <c r="T64" s="179">
        <f t="shared" si="5"/>
        <v>0</v>
      </c>
      <c r="U64" s="175" t="str">
        <f t="shared" si="6"/>
        <v/>
      </c>
      <c r="V64" s="175" t="str">
        <f t="shared" si="7"/>
        <v/>
      </c>
      <c r="W64" s="13" t="str">
        <f t="shared" si="12"/>
        <v/>
      </c>
      <c r="X64" s="13"/>
      <c r="Y64" s="140"/>
    </row>
    <row r="65" spans="1:30" x14ac:dyDescent="0.35">
      <c r="B65" s="28" t="s">
        <v>261</v>
      </c>
      <c r="C65" s="4" t="s">
        <v>262</v>
      </c>
      <c r="D65" s="13">
        <v>300</v>
      </c>
      <c r="E65" s="22"/>
      <c r="F65" s="13">
        <v>225</v>
      </c>
      <c r="G65" s="27">
        <f t="shared" si="10"/>
        <v>225</v>
      </c>
      <c r="H65" s="22"/>
      <c r="I65" s="26"/>
      <c r="J65" s="13">
        <v>300</v>
      </c>
      <c r="K65" s="13">
        <v>300</v>
      </c>
      <c r="L65" s="27">
        <f>IF(I65="",0,IF(K65&gt;0,0,IF(I65="A",H65,IF(I65="M",H65*12,IF(I65="W",H65*(Lookups!$B$9+1),IF(I65="B",H65*(+Lookups!$B$10),IF(I65="S",H65*2,IF(AND(H65=0,K65&gt;0),K65,"ERROR"))))))))</f>
        <v>0</v>
      </c>
      <c r="M65" s="22"/>
      <c r="N65" s="26"/>
      <c r="O65" s="13">
        <f>25*12</f>
        <v>300</v>
      </c>
      <c r="P65" s="27">
        <f>IF(M65="",0,IF(O65&gt;0,0,IF(N65="A",M65,IF(N65="M",M65*12,IF(N65="W",M65*Lookups!B$9,IF(N65="B",M65*+Lookups!B$10,IF(N65="S",M65*2,IF(AND(M65=0,O65&gt;0),O65,"ERROR"))))))))</f>
        <v>0</v>
      </c>
      <c r="Q65" s="149" t="str">
        <f>IF(OR(AND(P65=0,H65=0),O65&gt;0),"",IF(AND(I65="W",N65="W"),ROUND(P65-(H65*Lookups!$B$9),0),ROUND(+P65-L65,0)))</f>
        <v/>
      </c>
      <c r="R65" s="91" t="str">
        <f t="shared" si="9"/>
        <v>E</v>
      </c>
      <c r="S65" s="24">
        <v>50</v>
      </c>
      <c r="T65" s="179">
        <f t="shared" si="5"/>
        <v>300</v>
      </c>
      <c r="U65" s="175" t="str">
        <f t="shared" si="6"/>
        <v/>
      </c>
      <c r="V65" s="175" t="str">
        <f t="shared" si="7"/>
        <v/>
      </c>
      <c r="W65" s="13" t="str">
        <f t="shared" si="12"/>
        <v/>
      </c>
      <c r="X65" s="13"/>
      <c r="Y65" s="140"/>
    </row>
    <row r="66" spans="1:30" ht="14" customHeight="1" x14ac:dyDescent="0.35">
      <c r="A66" s="157" t="s">
        <v>650</v>
      </c>
      <c r="B66" s="28" t="s">
        <v>263</v>
      </c>
      <c r="C66" s="4" t="s">
        <v>264</v>
      </c>
      <c r="D66" s="13">
        <v>20</v>
      </c>
      <c r="E66" s="22"/>
      <c r="F66" s="13"/>
      <c r="G66" s="27">
        <f t="shared" si="10"/>
        <v>0</v>
      </c>
      <c r="H66" s="22"/>
      <c r="I66" s="26"/>
      <c r="J66" s="13"/>
      <c r="K66" s="13"/>
      <c r="L66" s="27">
        <f>IF(I66="",0,IF(K66&gt;0,0,IF(I66="A",H66,IF(I66="M",H66*12,IF(I66="W",H66*(Lookups!$B$9+1),IF(I66="B",H66*(+Lookups!$B$10),IF(I66="S",H66*2,IF(AND(H66=0,K66&gt;0),K66,"ERROR"))))))))</f>
        <v>0</v>
      </c>
      <c r="M66" s="22"/>
      <c r="N66" s="26"/>
      <c r="O66" s="13"/>
      <c r="P66" s="27">
        <f>IF(M66="",0,IF(O66&gt;0,0,IF(N66="A",M66,IF(N66="M",M66*12,IF(N66="W",M66*Lookups!B$9,IF(N66="B",M66*+Lookups!B$10,IF(N66="S",M66*2,IF(AND(M66=0,O66&gt;0),O66,"ERROR"))))))))</f>
        <v>0</v>
      </c>
      <c r="Q66" s="149" t="str">
        <f>IF(OR(AND(P66=0,H66=0),O66&gt;0),"",IF(AND(I66="W",N66="W"),ROUND(P66-(H66*Lookups!$B$9),0),ROUND(+P66-L66,0)))</f>
        <v/>
      </c>
      <c r="R66" s="91" t="str">
        <f t="shared" si="9"/>
        <v/>
      </c>
      <c r="S66" s="24"/>
      <c r="T66" s="179" t="str">
        <f t="shared" si="5"/>
        <v/>
      </c>
      <c r="U66" s="175" t="str">
        <f t="shared" si="6"/>
        <v/>
      </c>
      <c r="V66" s="175" t="str">
        <f t="shared" si="7"/>
        <v/>
      </c>
      <c r="W66" s="13" t="str">
        <f t="shared" si="12"/>
        <v/>
      </c>
      <c r="X66" s="13"/>
      <c r="Y66" s="140"/>
    </row>
    <row r="67" spans="1:30" ht="14" customHeight="1" x14ac:dyDescent="0.35">
      <c r="B67" s="28" t="s">
        <v>630</v>
      </c>
      <c r="C67" s="4" t="s">
        <v>631</v>
      </c>
      <c r="D67" s="13"/>
      <c r="E67" s="22"/>
      <c r="F67" s="13"/>
      <c r="G67" s="27">
        <f t="shared" si="10"/>
        <v>0</v>
      </c>
      <c r="H67" s="22"/>
      <c r="I67" s="26"/>
      <c r="J67" s="13">
        <v>175</v>
      </c>
      <c r="K67" s="13"/>
      <c r="L67" s="27">
        <f>IF(I67="",0,IF(K67&gt;0,0,IF(I67="A",H67,IF(I67="M",H67*12,IF(I67="W",H67*(Lookups!$B$9+1),IF(I67="B",H67*(+Lookups!$B$10),IF(I67="S",H67*2,IF(AND(H67=0,K67&gt;0),K67,"ERROR"))))))))</f>
        <v>0</v>
      </c>
      <c r="M67" s="22"/>
      <c r="N67" s="26"/>
      <c r="O67" s="13"/>
      <c r="P67" s="27">
        <f>IF(M67="",0,IF(O67&gt;0,0,IF(N67="A",M67,IF(N67="M",M67*12,IF(N67="W",M67*Lookups!B$9,IF(N67="B",M67*+Lookups!B$10,IF(N67="S",M67*2,IF(AND(M67=0,O67&gt;0),O67,"ERROR"))))))))</f>
        <v>0</v>
      </c>
      <c r="Q67" s="149" t="str">
        <f>IF(OR(AND(P67=0,H67=0),O67&gt;0),"",IF(AND(I67="W",N67="W"),ROUND(P67-(H67*Lookups!$B$9),0),ROUND(+P67-L67,0)))</f>
        <v/>
      </c>
      <c r="R67" s="91" t="str">
        <f t="shared" si="9"/>
        <v/>
      </c>
      <c r="S67" s="24">
        <v>125</v>
      </c>
      <c r="T67" s="179">
        <f t="shared" si="5"/>
        <v>0</v>
      </c>
      <c r="U67" s="175" t="str">
        <f t="shared" si="6"/>
        <v/>
      </c>
      <c r="V67" s="175">
        <f t="shared" si="7"/>
        <v>750</v>
      </c>
      <c r="W67" s="13" t="str">
        <f t="shared" si="12"/>
        <v/>
      </c>
      <c r="X67" s="13"/>
      <c r="Y67" s="140"/>
    </row>
    <row r="68" spans="1:30" x14ac:dyDescent="0.35">
      <c r="B68" s="28" t="s">
        <v>373</v>
      </c>
      <c r="C68" s="4" t="s">
        <v>374</v>
      </c>
      <c r="D68" s="13"/>
      <c r="E68" s="22"/>
      <c r="F68" s="13">
        <v>625</v>
      </c>
      <c r="G68" s="27">
        <f t="shared" si="10"/>
        <v>625</v>
      </c>
      <c r="H68" s="22">
        <v>125</v>
      </c>
      <c r="I68" s="26" t="s">
        <v>44</v>
      </c>
      <c r="J68" s="13">
        <v>675</v>
      </c>
      <c r="K68" s="13"/>
      <c r="L68" s="27">
        <f>IF(I68="",0,IF(K68&gt;0,0,IF(I68="A",H68,IF(I68="M",H68*12,IF(I68="W",H68*(Lookups!$B$9+1),IF(I68="B",H68*(+Lookups!$B$10),IF(I68="S",H68*2,IF(AND(H68=0,K68&gt;0),K68,"ERROR"))))))))</f>
        <v>1500</v>
      </c>
      <c r="M68" s="22">
        <v>83.333333333333329</v>
      </c>
      <c r="N68" s="26" t="s">
        <v>44</v>
      </c>
      <c r="O68" s="13"/>
      <c r="P68" s="27">
        <f>IF(M68="",0,IF(O68&gt;0,0,IF(N68="A",M68,IF(N68="M",M68*12,IF(N68="W",M68*Lookups!B$9,IF(N68="B",M68*+Lookups!B$10,IF(N68="S",M68*2,IF(AND(M68=0,O68&gt;0),O68,"ERROR"))))))))</f>
        <v>1000</v>
      </c>
      <c r="Q68" s="149">
        <f>IF(OR(AND(P68=0,H68=0),O68&gt;0),"",IF(AND(I68="W",N68="W"),ROUND(P68-(H68*Lookups!$B$9),0),ROUND(+P68-L68,0)))</f>
        <v>-500</v>
      </c>
      <c r="R68" s="91" t="str">
        <f t="shared" si="9"/>
        <v>D</v>
      </c>
      <c r="S68" s="24">
        <v>170</v>
      </c>
      <c r="T68" s="179">
        <f t="shared" si="5"/>
        <v>0</v>
      </c>
      <c r="U68" s="175" t="str">
        <f t="shared" si="6"/>
        <v/>
      </c>
      <c r="V68" s="175" t="str">
        <f t="shared" si="7"/>
        <v/>
      </c>
      <c r="W68" s="13" t="str">
        <f t="shared" si="12"/>
        <v/>
      </c>
      <c r="X68" s="13"/>
      <c r="Y68" s="140"/>
    </row>
    <row r="69" spans="1:30" x14ac:dyDescent="0.35">
      <c r="B69" s="166" t="s">
        <v>102</v>
      </c>
      <c r="C69" s="4" t="s">
        <v>103</v>
      </c>
      <c r="D69" s="13">
        <v>7200</v>
      </c>
      <c r="E69" s="22">
        <v>7200</v>
      </c>
      <c r="F69" s="13">
        <v>5400</v>
      </c>
      <c r="G69" s="27">
        <f t="shared" ref="G69:G98" si="18">IF(E69=0,F69,IF(AND(F69=0,J69="A"),E69,IF(F69&gt;E69,F69, IF(F69/E69&gt;0.73,E69,F69))))</f>
        <v>7200</v>
      </c>
      <c r="H69" s="22">
        <v>600</v>
      </c>
      <c r="I69" s="26" t="s">
        <v>44</v>
      </c>
      <c r="J69" s="13">
        <v>7200</v>
      </c>
      <c r="K69" s="13"/>
      <c r="L69" s="27">
        <f>IF(I69="",0,IF(K69&gt;0,0,IF(I69="A",H69,IF(I69="M",H69*12,IF(I69="W",H69*(Lookups!$B$9+1),IF(I69="B",H69*(+Lookups!$B$10),IF(I69="S",H69*2,IF(AND(H69=0,K69&gt;0),K69,"ERROR"))))))))</f>
        <v>7200</v>
      </c>
      <c r="M69" s="22">
        <v>600</v>
      </c>
      <c r="N69" s="26" t="s">
        <v>44</v>
      </c>
      <c r="O69" s="13"/>
      <c r="P69" s="27">
        <f>IF(M69="",0,IF(O69&gt;0,0,IF(N69="A",M69,IF(N69="M",M69*12,IF(N69="W",M69*Lookups!B$9,IF(N69="B",M69*+Lookups!B$10,IF(N69="S",M69*2,IF(AND(M69=0,O69&gt;0),O69,"ERROR"))))))))</f>
        <v>7200</v>
      </c>
      <c r="Q69" s="149">
        <f>IF(OR(AND(P69=0,H69=0),O69&gt;0),"",IF(AND(I69="W",N69="W"),ROUND(P69-(H69*Lookups!$B$9),0),ROUND(+P69-L69,0)))</f>
        <v>0</v>
      </c>
      <c r="R69" s="91" t="str">
        <f t="shared" si="9"/>
        <v>S</v>
      </c>
      <c r="S69" s="24">
        <v>1200</v>
      </c>
      <c r="T69" s="179">
        <f t="shared" si="5"/>
        <v>0</v>
      </c>
      <c r="U69" s="175" t="str">
        <f t="shared" si="6"/>
        <v/>
      </c>
      <c r="V69" s="175" t="str">
        <f t="shared" ref="V69:V132" si="19">IF((L69+P69+D69+O69)=0,S69*6,"")</f>
        <v/>
      </c>
      <c r="W69" s="13" t="str">
        <f t="shared" si="12"/>
        <v/>
      </c>
      <c r="X69" s="13"/>
      <c r="Y69" s="140"/>
      <c r="Z69" s="67" t="s">
        <v>555</v>
      </c>
      <c r="AA69" s="68" t="s">
        <v>556</v>
      </c>
      <c r="AB69" s="68" t="s">
        <v>426</v>
      </c>
      <c r="AC69" s="69" t="s">
        <v>403</v>
      </c>
      <c r="AD69" s="70">
        <v>53406</v>
      </c>
    </row>
    <row r="70" spans="1:30" x14ac:dyDescent="0.35">
      <c r="B70" s="166" t="s">
        <v>104</v>
      </c>
      <c r="C70" s="4" t="s">
        <v>105</v>
      </c>
      <c r="D70" s="13">
        <v>280</v>
      </c>
      <c r="E70" s="22">
        <v>1040</v>
      </c>
      <c r="F70" s="13">
        <v>780</v>
      </c>
      <c r="G70" s="27">
        <f t="shared" si="18"/>
        <v>1040</v>
      </c>
      <c r="H70" s="22">
        <v>25</v>
      </c>
      <c r="I70" s="26" t="s">
        <v>43</v>
      </c>
      <c r="J70" s="13">
        <v>1300</v>
      </c>
      <c r="K70" s="13"/>
      <c r="L70" s="27">
        <f>IF(I70="",0,IF(K70&gt;0,0,IF(I70="A",H70,IF(I70="M",H70*12,IF(I70="W",H70*(Lookups!$B$9+1),IF(I70="B",H70*(+Lookups!$B$10),IF(I70="S",H70*2,IF(AND(H70=0,K70&gt;0),K70,"ERROR"))))))))</f>
        <v>1325</v>
      </c>
      <c r="M70" s="22"/>
      <c r="N70" s="26"/>
      <c r="O70" s="13">
        <f>108.333333333333*12</f>
        <v>1299.9999999999959</v>
      </c>
      <c r="P70" s="27">
        <f>IF(M70="",0,IF(O70&gt;0,0,IF(N70="A",M70,IF(N70="M",M70*12,IF(N70="W",M70*Lookups!B$9,IF(N70="B",M70*+Lookups!B$10,IF(N70="S",M70*2,IF(AND(M70=0,O70&gt;0),O70,"ERROR"))))))))</f>
        <v>0</v>
      </c>
      <c r="Q70" s="149" t="str">
        <f>IF(OR(AND(P70=0,H70=0),O70&gt;0),"",IF(AND(I70="W",N70="W"),ROUND(P70-(H70*Lookups!$B$9),0),ROUND(+P70-L70,0)))</f>
        <v/>
      </c>
      <c r="R70" s="91" t="str">
        <f t="shared" si="9"/>
        <v>E</v>
      </c>
      <c r="S70" s="24">
        <v>225</v>
      </c>
      <c r="T70" s="179">
        <f t="shared" ref="T70:T134" si="20">IF(AND(S70&gt;0,J70&gt;0),O70,"")</f>
        <v>1299.9999999999959</v>
      </c>
      <c r="U70" s="175" t="str">
        <f t="shared" ref="U70:U134" si="21">IF(AND(S70&lt;1,J70&gt;0),O70,"")</f>
        <v/>
      </c>
      <c r="V70" s="175" t="str">
        <f t="shared" si="19"/>
        <v/>
      </c>
      <c r="W70" s="13" t="str">
        <f t="shared" ref="W70:W134" si="22">IF(X70="","",P70)</f>
        <v/>
      </c>
      <c r="X70" s="13"/>
      <c r="Y70" s="140"/>
      <c r="Z70" s="67" t="s">
        <v>445</v>
      </c>
      <c r="AA70" s="68" t="s">
        <v>446</v>
      </c>
      <c r="AB70" s="68" t="s">
        <v>426</v>
      </c>
      <c r="AC70" s="69" t="s">
        <v>403</v>
      </c>
      <c r="AD70" s="70">
        <v>53403</v>
      </c>
    </row>
    <row r="71" spans="1:30" x14ac:dyDescent="0.35">
      <c r="B71" s="166" t="s">
        <v>633</v>
      </c>
      <c r="C71" s="4" t="s">
        <v>653</v>
      </c>
      <c r="D71" s="13"/>
      <c r="E71" s="22"/>
      <c r="F71" s="13"/>
      <c r="G71" s="27">
        <f t="shared" si="18"/>
        <v>0</v>
      </c>
      <c r="H71" s="22"/>
      <c r="I71" s="26"/>
      <c r="J71" s="13">
        <v>870</v>
      </c>
      <c r="K71" s="13"/>
      <c r="L71" s="27">
        <f>IF(I71="",0,IF(K71&gt;0,0,IF(I71="A",H71,IF(I71="M",H71*12,IF(I71="W",H71*(Lookups!$B$9+1),IF(I71="B",H71*(+Lookups!$B$10),IF(I71="S",H71*2,IF(AND(H71=0,K71&gt;0),K71,"ERROR"))))))))</f>
        <v>0</v>
      </c>
      <c r="M71" s="22"/>
      <c r="N71" s="26"/>
      <c r="O71" s="13"/>
      <c r="P71" s="27">
        <f>IF(M71="",0,IF(O71&gt;0,0,IF(N71="A",M71,IF(N71="M",M71*12,IF(N71="W",M71*Lookups!B$9,IF(N71="B",M71*+Lookups!B$10,IF(N71="S",M71*2,IF(AND(M71=0,O71&gt;0),O71,"ERROR"))))))))</f>
        <v>0</v>
      </c>
      <c r="Q71" s="149" t="str">
        <f>IF(OR(AND(P71=0,H71=0),O71&gt;0),"",IF(AND(I71="W",N71="W"),ROUND(P71-(H71*Lookups!$B$9),0),ROUND(+P71-L71,0)))</f>
        <v/>
      </c>
      <c r="R71" s="91" t="str">
        <f t="shared" ref="R71:R139" si="23">IF(AND(O71&gt;0,J71&gt;0),"E",IF(Q71="","",IF(Q71=0,"S",IF(AND(Q71&gt;0,NOT(H71=0)),"I",IF(AND(Q71&gt;0,H71=0),"N",IF(Q71&lt;0,"D","ERROR"))))))</f>
        <v/>
      </c>
      <c r="S71" s="24">
        <v>140</v>
      </c>
      <c r="T71" s="179">
        <f t="shared" si="20"/>
        <v>0</v>
      </c>
      <c r="U71" s="175" t="str">
        <f t="shared" si="21"/>
        <v/>
      </c>
      <c r="V71" s="175">
        <f t="shared" si="19"/>
        <v>840</v>
      </c>
      <c r="W71" s="13" t="str">
        <f t="shared" si="22"/>
        <v/>
      </c>
      <c r="X71" s="13"/>
      <c r="Y71" s="140"/>
      <c r="Z71" s="67" t="s">
        <v>445</v>
      </c>
      <c r="AA71" s="68" t="s">
        <v>632</v>
      </c>
      <c r="AB71" s="68" t="s">
        <v>426</v>
      </c>
      <c r="AC71" s="69" t="s">
        <v>403</v>
      </c>
      <c r="AD71" s="70">
        <v>53404</v>
      </c>
    </row>
    <row r="72" spans="1:30" x14ac:dyDescent="0.35">
      <c r="B72" s="28" t="s">
        <v>106</v>
      </c>
      <c r="C72" s="4" t="s">
        <v>21</v>
      </c>
      <c r="D72" s="13">
        <v>670</v>
      </c>
      <c r="E72" s="22">
        <v>720</v>
      </c>
      <c r="F72" s="13">
        <v>540</v>
      </c>
      <c r="G72" s="27">
        <f t="shared" si="18"/>
        <v>720</v>
      </c>
      <c r="H72" s="22">
        <v>65</v>
      </c>
      <c r="I72" s="26" t="s">
        <v>44</v>
      </c>
      <c r="J72" s="13">
        <v>780</v>
      </c>
      <c r="K72" s="13"/>
      <c r="L72" s="27">
        <f>IF(I72="",0,IF(K72&gt;0,0,IF(I72="A",H72,IF(I72="M",H72*12,IF(I72="W",H72*(Lookups!$B$9+1),IF(I72="B",H72*(+Lookups!$B$10),IF(I72="S",H72*2,IF(AND(H72=0,K72&gt;0),K72,"ERROR"))))))))</f>
        <v>780</v>
      </c>
      <c r="M72" s="22">
        <v>70</v>
      </c>
      <c r="N72" s="26" t="s">
        <v>44</v>
      </c>
      <c r="O72" s="13"/>
      <c r="P72" s="27">
        <f>IF(M72="",0,IF(O72&gt;0,0,IF(N72="A",M72,IF(N72="M",M72*12,IF(N72="W",M72*Lookups!B$9,IF(N72="B",M72*+Lookups!B$10,IF(N72="S",M72*2,IF(AND(M72=0,O72&gt;0),O72,"ERROR"))))))))</f>
        <v>840</v>
      </c>
      <c r="Q72" s="149">
        <f>IF(OR(AND(P72=0,H72=0),O72&gt;0),"",IF(AND(I72="W",N72="W"),ROUND(P72-(H72*Lookups!$B$9),0),ROUND(+P72-L72,0)))</f>
        <v>60</v>
      </c>
      <c r="R72" s="91" t="str">
        <f t="shared" si="23"/>
        <v>I</v>
      </c>
      <c r="S72" s="24">
        <v>140</v>
      </c>
      <c r="T72" s="179">
        <f t="shared" si="20"/>
        <v>0</v>
      </c>
      <c r="U72" s="175" t="str">
        <f t="shared" si="21"/>
        <v/>
      </c>
      <c r="V72" s="175" t="str">
        <f t="shared" si="19"/>
        <v/>
      </c>
      <c r="W72" s="13" t="str">
        <f t="shared" si="22"/>
        <v/>
      </c>
      <c r="X72" s="13"/>
      <c r="Y72" s="140"/>
      <c r="Z72" s="67" t="s">
        <v>447</v>
      </c>
      <c r="AA72" s="68" t="s">
        <v>448</v>
      </c>
      <c r="AB72" s="68" t="s">
        <v>402</v>
      </c>
      <c r="AC72" s="69" t="s">
        <v>403</v>
      </c>
      <c r="AD72" s="70">
        <v>53406</v>
      </c>
    </row>
    <row r="73" spans="1:30" x14ac:dyDescent="0.35">
      <c r="B73" s="166" t="s">
        <v>654</v>
      </c>
      <c r="C73" s="4" t="s">
        <v>655</v>
      </c>
      <c r="D73" s="13"/>
      <c r="E73" s="22"/>
      <c r="F73" s="13"/>
      <c r="G73" s="27">
        <f t="shared" ref="G73" si="24">IF(E73=0,F73,IF(AND(F73=0,J73="A"),E73,IF(F73&gt;E73,F73, IF(F73/E73&gt;0.73,E73,F73))))</f>
        <v>0</v>
      </c>
      <c r="H73" s="22"/>
      <c r="I73" s="26"/>
      <c r="J73" s="13">
        <v>20</v>
      </c>
      <c r="K73" s="13"/>
      <c r="L73" s="27">
        <f>IF(I73="",0,IF(K73&gt;0,0,IF(I73="A",H73,IF(I73="M",H73*12,IF(I73="W",H73*(Lookups!$B$9+1),IF(I73="B",H73*(+Lookups!$B$10),IF(I73="S",H73*2,IF(AND(H73=0,K73&gt;0),K73,"ERROR"))))))))</f>
        <v>0</v>
      </c>
      <c r="M73" s="22"/>
      <c r="N73" s="26"/>
      <c r="O73" s="13"/>
      <c r="P73" s="27">
        <f>IF(M73="",0,IF(O73&gt;0,0,IF(N73="A",M73,IF(N73="M",M73*12,IF(N73="W",M73*Lookups!B$9,IF(N73="B",M73*+Lookups!B$10,IF(N73="S",M73*2,IF(AND(M73=0,O73&gt;0),O73,"ERROR"))))))))</f>
        <v>0</v>
      </c>
      <c r="Q73" s="149" t="str">
        <f>IF(OR(AND(P73=0,H73=0),O73&gt;0),"",IF(AND(I73="W",N73="W"),ROUND(P73-(H73*Lookups!$B$9),0),ROUND(+P73-L73,0)))</f>
        <v/>
      </c>
      <c r="R73" s="91" t="str">
        <f t="shared" ref="R73" si="25">IF(AND(O73&gt;0,J73&gt;0),"E",IF(Q73="","",IF(Q73=0,"S",IF(AND(Q73&gt;0,NOT(H73=0)),"I",IF(AND(Q73&gt;0,H73=0),"N",IF(Q73&lt;0,"D","ERROR"))))))</f>
        <v/>
      </c>
      <c r="S73" s="24">
        <v>10</v>
      </c>
      <c r="T73" s="179">
        <f t="shared" si="20"/>
        <v>0</v>
      </c>
      <c r="U73" s="175" t="str">
        <f t="shared" si="21"/>
        <v/>
      </c>
      <c r="V73" s="175">
        <f t="shared" si="19"/>
        <v>60</v>
      </c>
      <c r="W73" s="13" t="str">
        <f t="shared" si="22"/>
        <v/>
      </c>
      <c r="X73" s="13"/>
      <c r="Y73" s="140"/>
      <c r="Z73" s="67"/>
    </row>
    <row r="74" spans="1:30" ht="29" x14ac:dyDescent="0.35">
      <c r="B74" s="28" t="s">
        <v>107</v>
      </c>
      <c r="C74" s="4" t="s">
        <v>108</v>
      </c>
      <c r="D74" s="13">
        <v>2700</v>
      </c>
      <c r="E74" s="22">
        <v>2940</v>
      </c>
      <c r="F74" s="13">
        <v>2030</v>
      </c>
      <c r="G74" s="27">
        <f t="shared" si="18"/>
        <v>2030</v>
      </c>
      <c r="H74" s="22">
        <v>250</v>
      </c>
      <c r="I74" s="26" t="s">
        <v>44</v>
      </c>
      <c r="J74" s="13">
        <v>2985</v>
      </c>
      <c r="K74" s="13"/>
      <c r="L74" s="27">
        <f>IF(I74="",0,IF(K74&gt;0,0,IF(I74="A",H74,IF(I74="M",H74*12,IF(I74="W",H74*(Lookups!$B$9+1),IF(I74="B",H74*(+Lookups!$B$10),IF(I74="S",H74*2,IF(AND(H74=0,K74&gt;0),K74,"ERROR"))))))))</f>
        <v>3000</v>
      </c>
      <c r="M74" s="22">
        <v>250</v>
      </c>
      <c r="N74" s="26" t="s">
        <v>44</v>
      </c>
      <c r="O74" s="13"/>
      <c r="P74" s="27">
        <f>IF(M74="",0,IF(O74&gt;0,0,IF(N74="A",M74,IF(N74="M",M74*12,IF(N74="W",M74*Lookups!B$9,IF(N74="B",M74*+Lookups!B$10,IF(N74="S",M74*2,IF(AND(M74=0,O74&gt;0),O74,"ERROR"))))))))</f>
        <v>3000</v>
      </c>
      <c r="Q74" s="149">
        <f>IF(OR(AND(P74=0,H74=0),O74&gt;0),"",IF(AND(I74="W",N74="W"),ROUND(P74-(H74*Lookups!$B$9),0),ROUND(+P74-L74,0)))</f>
        <v>0</v>
      </c>
      <c r="R74" s="91" t="str">
        <f t="shared" si="23"/>
        <v>S</v>
      </c>
      <c r="S74" s="24">
        <v>500</v>
      </c>
      <c r="T74" s="179">
        <f t="shared" si="20"/>
        <v>0</v>
      </c>
      <c r="U74" s="175" t="str">
        <f t="shared" si="21"/>
        <v/>
      </c>
      <c r="V74" s="175" t="str">
        <f t="shared" si="19"/>
        <v/>
      </c>
      <c r="W74" s="13" t="str">
        <f t="shared" si="22"/>
        <v/>
      </c>
      <c r="X74" s="13"/>
      <c r="Y74" s="140"/>
      <c r="Z74" s="137" t="s">
        <v>557</v>
      </c>
      <c r="AA74" s="68" t="s">
        <v>449</v>
      </c>
      <c r="AB74" s="68" t="s">
        <v>402</v>
      </c>
      <c r="AC74" s="69" t="s">
        <v>403</v>
      </c>
      <c r="AD74" s="70">
        <v>53406</v>
      </c>
    </row>
    <row r="75" spans="1:30" x14ac:dyDescent="0.35">
      <c r="B75" s="28" t="s">
        <v>109</v>
      </c>
      <c r="C75" s="4" t="s">
        <v>450</v>
      </c>
      <c r="D75" s="13">
        <v>2000</v>
      </c>
      <c r="E75" s="22">
        <v>2000</v>
      </c>
      <c r="F75" s="13">
        <v>2000</v>
      </c>
      <c r="G75" s="27">
        <f t="shared" si="18"/>
        <v>2000</v>
      </c>
      <c r="H75" s="22">
        <v>2000</v>
      </c>
      <c r="I75" s="26" t="s">
        <v>40</v>
      </c>
      <c r="J75" s="13">
        <v>2000</v>
      </c>
      <c r="K75" s="13"/>
      <c r="L75" s="27">
        <f>IF(I75="",0,IF(K75&gt;0,0,IF(I75="A",H75,IF(I75="M",H75*12,IF(I75="W",H75*(Lookups!$B$9+1),IF(I75="B",H75*(+Lookups!$B$10),IF(I75="S",H75*2,IF(AND(H75=0,K75&gt;0),K75,"ERROR"))))))))</f>
        <v>2000</v>
      </c>
      <c r="M75" s="22">
        <v>2000</v>
      </c>
      <c r="N75" s="26" t="s">
        <v>40</v>
      </c>
      <c r="O75" s="13"/>
      <c r="P75" s="27">
        <f>IF(M75="",0,IF(O75&gt;0,0,IF(N75="A",M75,IF(N75="M",M75*12,IF(N75="W",M75*Lookups!B$9,IF(N75="B",M75*+Lookups!B$10,IF(N75="S",M75*2,IF(AND(M75=0,O75&gt;0),O75,"ERROR"))))))))</f>
        <v>2000</v>
      </c>
      <c r="Q75" s="149">
        <f>IF(OR(AND(P75=0,H75=0),O75&gt;0),"",IF(AND(I75="W",N75="W"),ROUND(P75-(H75*Lookups!$B$9),0),ROUND(+P75-L75,0)))</f>
        <v>0</v>
      </c>
      <c r="R75" s="91" t="str">
        <f t="shared" si="23"/>
        <v>S</v>
      </c>
      <c r="S75" s="24">
        <v>2000</v>
      </c>
      <c r="T75" s="179">
        <f t="shared" si="20"/>
        <v>0</v>
      </c>
      <c r="U75" s="175" t="str">
        <f t="shared" si="21"/>
        <v/>
      </c>
      <c r="V75" s="175" t="str">
        <f t="shared" si="19"/>
        <v/>
      </c>
      <c r="W75" s="13" t="str">
        <f t="shared" si="22"/>
        <v/>
      </c>
      <c r="X75" s="13"/>
      <c r="Y75" s="145" t="s">
        <v>566</v>
      </c>
      <c r="Z75" s="67" t="s">
        <v>451</v>
      </c>
      <c r="AA75" s="68" t="s">
        <v>452</v>
      </c>
      <c r="AB75" s="68" t="s">
        <v>402</v>
      </c>
      <c r="AC75" s="69" t="s">
        <v>403</v>
      </c>
      <c r="AD75" s="70">
        <v>53406</v>
      </c>
    </row>
    <row r="76" spans="1:30" x14ac:dyDescent="0.35">
      <c r="B76" s="28" t="s">
        <v>111</v>
      </c>
      <c r="C76" s="4" t="s">
        <v>112</v>
      </c>
      <c r="D76" s="13">
        <v>729</v>
      </c>
      <c r="E76" s="22">
        <v>728</v>
      </c>
      <c r="F76" s="13">
        <v>556</v>
      </c>
      <c r="G76" s="27">
        <f t="shared" si="18"/>
        <v>728</v>
      </c>
      <c r="H76" s="22">
        <v>754</v>
      </c>
      <c r="I76" s="26" t="s">
        <v>40</v>
      </c>
      <c r="J76" s="13">
        <v>769</v>
      </c>
      <c r="K76" s="13"/>
      <c r="L76" s="27">
        <f>IF(I76="",0,IF(K76&gt;0,0,IF(I76="A",H76,IF(I76="M",H76*12,IF(I76="W",H76*(Lookups!$B$9+1),IF(I76="B",H76*(+Lookups!$B$10),IF(I76="S",H76*2,IF(AND(H76=0,K76&gt;0),K76,"ERROR"))))))))</f>
        <v>754</v>
      </c>
      <c r="M76" s="22">
        <v>16</v>
      </c>
      <c r="N76" s="26" t="s">
        <v>43</v>
      </c>
      <c r="O76" s="13"/>
      <c r="P76" s="27">
        <f>IF(M76="",0,IF(O76&gt;0,0,IF(N76="A",M76,IF(N76="M",M76*12,IF(N76="W",M76*Lookups!B$9,IF(N76="B",M76*+Lookups!B$10,IF(N76="S",M76*2,IF(AND(M76=0,O76&gt;0),O76,"ERROR"))))))))</f>
        <v>832</v>
      </c>
      <c r="Q76" s="149">
        <f>IF(OR(AND(P76=0,H76=0),O76&gt;0),"",IF(AND(I76="W",N76="W"),ROUND(P76-(H76*Lookups!$B$9),0),ROUND(+P76-L76,0)))</f>
        <v>78</v>
      </c>
      <c r="R76" s="91" t="str">
        <f t="shared" si="23"/>
        <v>I</v>
      </c>
      <c r="S76" s="24">
        <v>128</v>
      </c>
      <c r="T76" s="179">
        <f t="shared" si="20"/>
        <v>0</v>
      </c>
      <c r="U76" s="175" t="str">
        <f t="shared" si="21"/>
        <v/>
      </c>
      <c r="V76" s="175" t="str">
        <f t="shared" si="19"/>
        <v/>
      </c>
      <c r="W76" s="13" t="str">
        <f t="shared" si="22"/>
        <v/>
      </c>
      <c r="X76" s="13"/>
      <c r="Y76" s="140"/>
      <c r="Z76" s="67" t="s">
        <v>558</v>
      </c>
      <c r="AA76" s="68" t="s">
        <v>559</v>
      </c>
      <c r="AB76" s="68" t="s">
        <v>426</v>
      </c>
      <c r="AC76" s="69" t="s">
        <v>403</v>
      </c>
      <c r="AD76" s="70">
        <v>53406</v>
      </c>
    </row>
    <row r="77" spans="1:30" x14ac:dyDescent="0.35">
      <c r="B77" s="28" t="s">
        <v>113</v>
      </c>
      <c r="C77" s="4" t="s">
        <v>114</v>
      </c>
      <c r="D77" s="13">
        <v>4035</v>
      </c>
      <c r="E77" s="22">
        <v>4160</v>
      </c>
      <c r="F77" s="13">
        <v>3040</v>
      </c>
      <c r="G77" s="27">
        <f t="shared" si="18"/>
        <v>4160</v>
      </c>
      <c r="H77" s="22">
        <v>85</v>
      </c>
      <c r="I77" s="26" t="s">
        <v>43</v>
      </c>
      <c r="J77" s="13">
        <v>4420</v>
      </c>
      <c r="K77" s="13"/>
      <c r="L77" s="27">
        <f>IF(I77="",0,IF(K77&gt;0,0,IF(I77="A",H77,IF(I77="M",H77*12,IF(I77="W",H77*(Lookups!$B$9+1),IF(I77="B",H77*(+Lookups!$B$10),IF(I77="S",H77*2,IF(AND(H77=0,K77&gt;0),K77,"ERROR"))))))))</f>
        <v>4505</v>
      </c>
      <c r="M77" s="22">
        <v>90</v>
      </c>
      <c r="N77" s="26" t="s">
        <v>43</v>
      </c>
      <c r="O77" s="13"/>
      <c r="P77" s="27">
        <f>IF(M77="",0,IF(O77&gt;0,0,IF(N77="A",M77,IF(N77="M",M77*12,IF(N77="W",M77*Lookups!B$9,IF(N77="B",M77*+Lookups!B$10,IF(N77="S",M77*2,IF(AND(M77=0,O77&gt;0),O77,"ERROR"))))))))</f>
        <v>4680</v>
      </c>
      <c r="Q77" s="149">
        <f>IF(OR(AND(P77=0,H77=0),O77&gt;0),"",IF(AND(I77="W",N77="W"),ROUND(P77-(H77*Lookups!$B$9),0),ROUND(+P77-L77,0)))</f>
        <v>260</v>
      </c>
      <c r="R77" s="91" t="str">
        <f t="shared" si="23"/>
        <v>I</v>
      </c>
      <c r="S77" s="24">
        <v>630</v>
      </c>
      <c r="T77" s="179">
        <f t="shared" si="20"/>
        <v>0</v>
      </c>
      <c r="U77" s="175" t="str">
        <f t="shared" si="21"/>
        <v/>
      </c>
      <c r="V77" s="175" t="str">
        <f t="shared" si="19"/>
        <v/>
      </c>
      <c r="W77" s="13" t="str">
        <f t="shared" si="22"/>
        <v/>
      </c>
      <c r="X77" s="13"/>
      <c r="Y77" s="145" t="s">
        <v>564</v>
      </c>
      <c r="AA77" s="68" t="s">
        <v>560</v>
      </c>
      <c r="AB77" s="68" t="s">
        <v>426</v>
      </c>
      <c r="AC77" s="69" t="s">
        <v>403</v>
      </c>
      <c r="AD77" s="70">
        <v>53404</v>
      </c>
    </row>
    <row r="78" spans="1:30" x14ac:dyDescent="0.35">
      <c r="B78" s="28" t="s">
        <v>634</v>
      </c>
      <c r="C78" s="4" t="s">
        <v>332</v>
      </c>
      <c r="D78" s="13"/>
      <c r="E78" s="22"/>
      <c r="F78" s="13"/>
      <c r="G78" s="27">
        <f t="shared" si="18"/>
        <v>0</v>
      </c>
      <c r="H78" s="22"/>
      <c r="I78" s="26"/>
      <c r="J78" s="13">
        <v>680</v>
      </c>
      <c r="K78" s="13"/>
      <c r="L78" s="27">
        <f>IF(I78="",0,IF(K78&gt;0,0,IF(I78="A",H78,IF(I78="M",H78*12,IF(I78="W",H78*(Lookups!$B$9+1),IF(I78="B",H78*(+Lookups!$B$10),IF(I78="S",H78*2,IF(AND(H78=0,K78&gt;0),K78,"ERROR"))))))))</f>
        <v>0</v>
      </c>
      <c r="M78" s="22"/>
      <c r="N78" s="26"/>
      <c r="O78" s="13">
        <v>600</v>
      </c>
      <c r="P78" s="27">
        <f>IF(M78="",0,IF(O78&gt;0,0,IF(N78="A",M78,IF(N78="M",M78*12,IF(N78="W",M78*Lookups!B$9,IF(N78="B",M78*+Lookups!B$10,IF(N78="S",M78*2,IF(AND(M78=0,O78&gt;0),O78,"ERROR"))))))))</f>
        <v>0</v>
      </c>
      <c r="Q78" s="149" t="str">
        <f>IF(OR(AND(P78=0,H78=0),O78&gt;0),"",IF(AND(I78="W",N78="W"),ROUND(P78-(H78*Lookups!$B$9),0),ROUND(+P78-L78,0)))</f>
        <v/>
      </c>
      <c r="R78" s="91" t="str">
        <f t="shared" si="23"/>
        <v>E</v>
      </c>
      <c r="S78" s="24">
        <v>50</v>
      </c>
      <c r="T78" s="179">
        <f t="shared" si="20"/>
        <v>600</v>
      </c>
      <c r="U78" s="175" t="str">
        <f t="shared" si="21"/>
        <v/>
      </c>
      <c r="V78" s="175" t="str">
        <f t="shared" si="19"/>
        <v/>
      </c>
      <c r="W78" s="13" t="str">
        <f t="shared" si="22"/>
        <v/>
      </c>
      <c r="X78" s="13"/>
      <c r="Y78" s="145"/>
    </row>
    <row r="79" spans="1:30" x14ac:dyDescent="0.35">
      <c r="A79" s="157" t="s">
        <v>650</v>
      </c>
      <c r="B79" s="127" t="s">
        <v>265</v>
      </c>
      <c r="C79" s="128" t="s">
        <v>266</v>
      </c>
      <c r="D79" s="129">
        <v>3050</v>
      </c>
      <c r="E79" s="130"/>
      <c r="F79" s="129"/>
      <c r="G79" s="131">
        <f t="shared" si="18"/>
        <v>0</v>
      </c>
      <c r="H79" s="130"/>
      <c r="I79" s="132"/>
      <c r="J79" s="129"/>
      <c r="K79" s="129"/>
      <c r="L79" s="131">
        <f>IF(I79="",0,IF(K79&gt;0,0,IF(I79="A",H79,IF(I79="M",H79*12,IF(I79="W",H79*(Lookups!$B$9+1),IF(I79="B",H79*(+Lookups!$B$10),IF(I79="S",H79*2,IF(AND(H79=0,K79&gt;0),K79,"ERROR"))))))))</f>
        <v>0</v>
      </c>
      <c r="M79" s="130"/>
      <c r="N79" s="132"/>
      <c r="O79" s="129"/>
      <c r="P79" s="131">
        <f>IF(M79="",0,IF(O79&gt;0,0,IF(N79="A",M79,IF(N79="M",M79*12,IF(N79="W",M79*Lookups!B$9,IF(N79="B",M79*+Lookups!B$10,IF(N79="S",M79*2,IF(AND(M79=0,O79&gt;0),O79,"ERROR"))))))))</f>
        <v>0</v>
      </c>
      <c r="Q79" s="101" t="str">
        <f>IF(OR(AND(P79=0,H79=0),O79&gt;0),"",IF(AND(I79="W",N79="W"),ROUND(P79-(H79*Lookups!$B$9),0),ROUND(+P79-L79,0)))</f>
        <v/>
      </c>
      <c r="R79" s="102" t="str">
        <f t="shared" si="23"/>
        <v/>
      </c>
      <c r="S79" s="146"/>
      <c r="T79" s="180" t="str">
        <f t="shared" si="20"/>
        <v/>
      </c>
      <c r="U79" s="176" t="str">
        <f t="shared" si="21"/>
        <v/>
      </c>
      <c r="V79" s="176" t="str">
        <f t="shared" si="19"/>
        <v/>
      </c>
      <c r="W79" s="129" t="str">
        <f t="shared" si="22"/>
        <v/>
      </c>
      <c r="X79" s="129"/>
      <c r="Y79" s="141"/>
      <c r="Z79" s="133" t="s">
        <v>511</v>
      </c>
      <c r="AA79" s="133"/>
      <c r="AB79" s="133"/>
      <c r="AC79" s="134"/>
      <c r="AD79" s="135"/>
    </row>
    <row r="80" spans="1:30" x14ac:dyDescent="0.35">
      <c r="A80" s="157" t="s">
        <v>650</v>
      </c>
      <c r="B80" s="28" t="s">
        <v>267</v>
      </c>
      <c r="C80" s="4" t="s">
        <v>158</v>
      </c>
      <c r="D80" s="13">
        <v>540</v>
      </c>
      <c r="E80" s="22"/>
      <c r="F80" s="13"/>
      <c r="G80" s="27">
        <f t="shared" si="18"/>
        <v>0</v>
      </c>
      <c r="H80" s="22"/>
      <c r="I80" s="26"/>
      <c r="J80" s="13"/>
      <c r="K80" s="13"/>
      <c r="L80" s="27">
        <f>IF(I80="",0,IF(K80&gt;0,0,IF(I80="A",H80,IF(I80="M",H80*12,IF(I80="W",H80*(Lookups!$B$9+1),IF(I80="B",H80*(+Lookups!$B$10),IF(I80="S",H80*2,IF(AND(H80=0,K80&gt;0),K80,"ERROR"))))))))</f>
        <v>0</v>
      </c>
      <c r="M80" s="22"/>
      <c r="N80" s="26"/>
      <c r="O80" s="13"/>
      <c r="P80" s="27">
        <f>IF(M80="",0,IF(O80&gt;0,0,IF(N80="A",M80,IF(N80="M",M80*12,IF(N80="W",M80*Lookups!B$9,IF(N80="B",M80*+Lookups!B$10,IF(N80="S",M80*2,IF(AND(M80=0,O80&gt;0),O80,"ERROR"))))))))</f>
        <v>0</v>
      </c>
      <c r="Q80" s="149" t="str">
        <f>IF(OR(AND(P80=0,H80=0),O80&gt;0),"",IF(AND(I80="W",N80="W"),ROUND(P80-(H80*Lookups!$B$9),0),ROUND(+P80-L80,0)))</f>
        <v/>
      </c>
      <c r="R80" s="91" t="str">
        <f t="shared" si="23"/>
        <v/>
      </c>
      <c r="S80" s="24"/>
      <c r="T80" s="179" t="str">
        <f t="shared" si="20"/>
        <v/>
      </c>
      <c r="U80" s="175" t="str">
        <f t="shared" si="21"/>
        <v/>
      </c>
      <c r="V80" s="175" t="str">
        <f t="shared" si="19"/>
        <v/>
      </c>
      <c r="W80" s="13" t="str">
        <f t="shared" si="22"/>
        <v/>
      </c>
      <c r="X80" s="13"/>
      <c r="Y80" s="140"/>
    </row>
    <row r="81" spans="1:30" x14ac:dyDescent="0.35">
      <c r="B81" s="28" t="s">
        <v>115</v>
      </c>
      <c r="C81" s="4" t="s">
        <v>66</v>
      </c>
      <c r="D81" s="13">
        <v>465</v>
      </c>
      <c r="E81" s="22">
        <v>504</v>
      </c>
      <c r="F81" s="13">
        <v>340</v>
      </c>
      <c r="G81" s="27">
        <f t="shared" si="18"/>
        <v>340</v>
      </c>
      <c r="H81" s="22"/>
      <c r="I81" s="26" t="s">
        <v>44</v>
      </c>
      <c r="J81" s="13">
        <v>453</v>
      </c>
      <c r="K81" s="13">
        <v>400</v>
      </c>
      <c r="L81" s="27">
        <f>IF(I81="",0,IF(K81&gt;0,0,IF(I81="A",H81,IF(I81="M",H81*12,IF(I81="W",H81*(Lookups!$B$9+1),IF(I81="B",H81*(+Lookups!$B$10),IF(I81="S",H81*2,IF(AND(H81=0,K81&gt;0),K81,"ERROR"))))))))</f>
        <v>0</v>
      </c>
      <c r="M81" s="22"/>
      <c r="N81" s="26"/>
      <c r="O81" s="13">
        <v>400</v>
      </c>
      <c r="P81" s="27">
        <f>IF(M81="",0,IF(O81&gt;0,0,IF(N81="A",M81,IF(N81="M",M81*12,IF(N81="W",M81*Lookups!B$9,IF(N81="B",M81*+Lookups!B$10,IF(N81="S",M81*2,IF(AND(M81=0,O81&gt;0),O81,"ERROR"))))))))</f>
        <v>0</v>
      </c>
      <c r="Q81" s="149" t="str">
        <f>IF(OR(AND(P81=0,H81=0),O81&gt;0),"",IF(AND(I81="W",N81="W"),ROUND(P81-(H81*Lookups!$B$9),0),ROUND(+P81-L81,0)))</f>
        <v/>
      </c>
      <c r="R81" s="91" t="str">
        <f t="shared" si="23"/>
        <v>E</v>
      </c>
      <c r="S81" s="24">
        <v>70</v>
      </c>
      <c r="T81" s="179">
        <f t="shared" si="20"/>
        <v>400</v>
      </c>
      <c r="U81" s="175" t="str">
        <f t="shared" si="21"/>
        <v/>
      </c>
      <c r="V81" s="175" t="str">
        <f t="shared" si="19"/>
        <v/>
      </c>
      <c r="W81" s="13" t="str">
        <f t="shared" si="22"/>
        <v/>
      </c>
      <c r="X81" s="13"/>
      <c r="Y81" s="140"/>
    </row>
    <row r="82" spans="1:30" ht="29" x14ac:dyDescent="0.35">
      <c r="B82" s="28" t="s">
        <v>530</v>
      </c>
      <c r="C82" s="4" t="s">
        <v>531</v>
      </c>
      <c r="D82" s="13"/>
      <c r="E82" s="22"/>
      <c r="F82" s="13"/>
      <c r="G82" s="27">
        <f t="shared" si="18"/>
        <v>0</v>
      </c>
      <c r="H82" s="22"/>
      <c r="I82" s="26"/>
      <c r="J82" s="13">
        <v>350</v>
      </c>
      <c r="K82" s="13"/>
      <c r="L82" s="27">
        <f>IF(I82="",0,IF(K82&gt;0,0,IF(I82="A",H82,IF(I82="M",H82*12,IF(I82="W",H82*(Lookups!$B$9+1),IF(I82="B",H82*(+Lookups!$B$10),IF(I82="S",H82*2,IF(AND(H82=0,K82&gt;0),K82,"ERROR"))))))))</f>
        <v>0</v>
      </c>
      <c r="M82" s="22">
        <v>2500</v>
      </c>
      <c r="N82" s="26" t="s">
        <v>40</v>
      </c>
      <c r="O82" s="13"/>
      <c r="P82" s="27">
        <f>IF(M82="",0,IF(O82&gt;0,0,IF(N82="A",M82,IF(N82="M",M82*12,IF(N82="W",M82*Lookups!B$9,IF(N82="B",M82*+Lookups!B$10,IF(N82="S",M82*2,IF(AND(M82=0,O82&gt;0),O82,"ERROR"))))))))</f>
        <v>2500</v>
      </c>
      <c r="Q82" s="149">
        <f>IF(OR(AND(P82=0,H82=0),O82&gt;0),"",IF(AND(I82="W",N82="W"),ROUND(P82-(H82*Lookups!$B$9),0),ROUND(+P82-L82,0)))</f>
        <v>2500</v>
      </c>
      <c r="R82" s="91" t="str">
        <f t="shared" si="23"/>
        <v>N</v>
      </c>
      <c r="S82" s="24">
        <v>200</v>
      </c>
      <c r="T82" s="179">
        <f t="shared" si="20"/>
        <v>0</v>
      </c>
      <c r="U82" s="175" t="str">
        <f t="shared" si="21"/>
        <v/>
      </c>
      <c r="V82" s="175" t="str">
        <f t="shared" si="19"/>
        <v/>
      </c>
      <c r="W82" s="13" t="str">
        <f t="shared" si="22"/>
        <v/>
      </c>
      <c r="X82" s="13"/>
      <c r="Y82" s="140"/>
      <c r="Z82" s="138" t="s">
        <v>561</v>
      </c>
      <c r="AA82" s="68" t="s">
        <v>562</v>
      </c>
      <c r="AB82" s="68" t="s">
        <v>426</v>
      </c>
      <c r="AC82" s="69" t="s">
        <v>403</v>
      </c>
      <c r="AD82" s="70">
        <v>53405</v>
      </c>
    </row>
    <row r="83" spans="1:30" x14ac:dyDescent="0.35">
      <c r="B83" s="28" t="s">
        <v>530</v>
      </c>
      <c r="C83" s="4" t="s">
        <v>532</v>
      </c>
      <c r="D83" s="13"/>
      <c r="E83" s="22"/>
      <c r="F83" s="13"/>
      <c r="G83" s="27">
        <f t="shared" si="18"/>
        <v>0</v>
      </c>
      <c r="H83" s="22"/>
      <c r="I83" s="26"/>
      <c r="J83" s="13">
        <v>1500</v>
      </c>
      <c r="K83" s="13"/>
      <c r="L83" s="27">
        <f>IF(I83="",0,IF(K83&gt;0,0,IF(I83="A",H83,IF(I83="M",H83*12,IF(I83="W",H83*(Lookups!$B$9+1),IF(I83="B",H83*(+Lookups!$B$10),IF(I83="S",H83*2,IF(AND(H83=0,K83&gt;0),K83,"ERROR"))))))))</f>
        <v>0</v>
      </c>
      <c r="M83" s="22">
        <v>1500</v>
      </c>
      <c r="N83" s="26" t="s">
        <v>40</v>
      </c>
      <c r="O83" s="13"/>
      <c r="P83" s="172">
        <f>IF(M83="",0,IF(O83&gt;0,0,IF(N83="A",M83,IF(N83="M",M83*12,IF(N83="W",M83*Lookups!B$9,IF(N83="B",M83*+Lookups!B$10,IF(N83="S",M83*2,IF(AND(M83=0,O83&gt;0),O83,"ERROR"))))))))</f>
        <v>1500</v>
      </c>
      <c r="Q83" s="149">
        <f>IF(OR(AND(P83=0,H83=0),O83&gt;0),"",IF(AND(I83="W",N83="W"),ROUND(P83-(H83*Lookups!$B$9),0),ROUND(+P83-L83,0)))</f>
        <v>1500</v>
      </c>
      <c r="R83" s="91" t="str">
        <f t="shared" si="23"/>
        <v>N</v>
      </c>
      <c r="S83" s="24"/>
      <c r="T83" s="179" t="str">
        <f t="shared" si="20"/>
        <v/>
      </c>
      <c r="U83" s="175">
        <f t="shared" si="21"/>
        <v>0</v>
      </c>
      <c r="V83" s="175" t="str">
        <f t="shared" si="19"/>
        <v/>
      </c>
      <c r="W83" s="13" t="str">
        <f t="shared" si="22"/>
        <v/>
      </c>
      <c r="X83" s="13"/>
      <c r="Y83" s="145" t="s">
        <v>565</v>
      </c>
    </row>
    <row r="84" spans="1:30" s="150" customFormat="1" x14ac:dyDescent="0.35">
      <c r="A84" s="167"/>
      <c r="B84" s="85" t="s">
        <v>268</v>
      </c>
      <c r="C84" s="86" t="s">
        <v>269</v>
      </c>
      <c r="D84" s="87">
        <v>3120</v>
      </c>
      <c r="E84" s="88"/>
      <c r="F84" s="87">
        <v>100</v>
      </c>
      <c r="G84" s="89">
        <f t="shared" si="18"/>
        <v>100</v>
      </c>
      <c r="H84" s="88"/>
      <c r="I84" s="90"/>
      <c r="J84" s="87">
        <v>1110</v>
      </c>
      <c r="K84" s="87"/>
      <c r="L84" s="89">
        <f>IF(I84="",0,IF(K84&gt;0,0,IF(I84="A",H84,IF(I84="M",H84*12,IF(I84="W",H84*(Lookups!$B$9+1),IF(I84="B",H84*(+Lookups!$B$10),IF(I84="S",H84*2,IF(AND(H84=0,K84&gt;0),K84,"ERROR"))))))))</f>
        <v>0</v>
      </c>
      <c r="M84" s="88"/>
      <c r="N84" s="90"/>
      <c r="O84" s="87"/>
      <c r="P84" s="89">
        <f>IF(M84="",0,IF(O84&gt;0,0,IF(N84="A",M84,IF(N84="M",M84*12,IF(N84="W",M84*Lookups!B$9,IF(N84="B",M84*+Lookups!B$10,IF(N84="S",M84*2,IF(AND(M84=0,O84&gt;0),O84,"ERROR"))))))))</f>
        <v>0</v>
      </c>
      <c r="Q84" s="149" t="str">
        <f>IF(OR(AND(P84=0,H84=0),O84&gt;0),"",IF(AND(I84="W",N84="W"),ROUND(P84-(H84*Lookups!$B$9),0),ROUND(+P84-L84,0)))</f>
        <v/>
      </c>
      <c r="R84" s="91" t="str">
        <f t="shared" si="23"/>
        <v/>
      </c>
      <c r="S84" s="107">
        <v>740</v>
      </c>
      <c r="T84" s="181">
        <f t="shared" si="20"/>
        <v>0</v>
      </c>
      <c r="U84" s="177" t="str">
        <f t="shared" si="21"/>
        <v/>
      </c>
      <c r="V84" s="177" t="str">
        <f t="shared" si="19"/>
        <v/>
      </c>
      <c r="W84" s="87" t="str">
        <f t="shared" si="22"/>
        <v/>
      </c>
      <c r="X84" s="87"/>
      <c r="Y84" s="142" t="s">
        <v>656</v>
      </c>
      <c r="Z84" s="92" t="s">
        <v>511</v>
      </c>
      <c r="AA84" s="92"/>
      <c r="AB84" s="92"/>
      <c r="AC84" s="93"/>
      <c r="AD84" s="94"/>
    </row>
    <row r="85" spans="1:30" x14ac:dyDescent="0.35">
      <c r="B85" s="166" t="s">
        <v>116</v>
      </c>
      <c r="C85" s="4" t="s">
        <v>117</v>
      </c>
      <c r="D85" s="13">
        <v>3600</v>
      </c>
      <c r="E85" s="22">
        <v>3600</v>
      </c>
      <c r="F85" s="13">
        <v>2700</v>
      </c>
      <c r="G85" s="27">
        <f t="shared" si="18"/>
        <v>3600</v>
      </c>
      <c r="H85" s="22">
        <v>300</v>
      </c>
      <c r="I85" s="26" t="s">
        <v>44</v>
      </c>
      <c r="J85" s="13">
        <v>3600</v>
      </c>
      <c r="K85" s="13"/>
      <c r="L85" s="27">
        <f>IF(I85="",0,IF(K85&gt;0,0,IF(I85="A",H85,IF(I85="M",H85*12,IF(I85="W",H85*(Lookups!$B$9+1),IF(I85="B",H85*(+Lookups!$B$10),IF(I85="S",H85*2,IF(AND(H85=0,K85&gt;0),K85,"ERROR"))))))))</f>
        <v>3600</v>
      </c>
      <c r="M85" s="22">
        <v>300</v>
      </c>
      <c r="N85" s="26" t="s">
        <v>44</v>
      </c>
      <c r="O85" s="13"/>
      <c r="P85" s="27">
        <f>IF(M85="",0,IF(O85&gt;0,0,IF(N85="A",M85,IF(N85="M",M85*12,IF(N85="W",M85*Lookups!B$9,IF(N85="B",M85*+Lookups!B$10,IF(N85="S",M85*2,IF(AND(M85=0,O85&gt;0),O85,"ERROR"))))))))</f>
        <v>3600</v>
      </c>
      <c r="Q85" s="149">
        <f>IF(OR(AND(P85=0,H85=0),O85&gt;0),"",IF(AND(I85="W",N85="W"),ROUND(P85-(H85*Lookups!$B$9),0),ROUND(+P85-L85,0)))</f>
        <v>0</v>
      </c>
      <c r="R85" s="91" t="str">
        <f t="shared" si="23"/>
        <v>S</v>
      </c>
      <c r="S85" s="24">
        <v>600</v>
      </c>
      <c r="T85" s="179">
        <f t="shared" si="20"/>
        <v>0</v>
      </c>
      <c r="U85" s="175" t="str">
        <f t="shared" si="21"/>
        <v/>
      </c>
      <c r="V85" s="175" t="str">
        <f t="shared" si="19"/>
        <v/>
      </c>
      <c r="W85" s="13" t="str">
        <f t="shared" si="22"/>
        <v/>
      </c>
      <c r="X85" s="13"/>
      <c r="Y85" s="140"/>
      <c r="Z85" s="67" t="s">
        <v>453</v>
      </c>
    </row>
    <row r="86" spans="1:30" x14ac:dyDescent="0.35">
      <c r="A86" s="157" t="s">
        <v>650</v>
      </c>
      <c r="B86" s="28" t="s">
        <v>270</v>
      </c>
      <c r="C86" s="4" t="s">
        <v>271</v>
      </c>
      <c r="D86" s="13">
        <v>295</v>
      </c>
      <c r="E86" s="22"/>
      <c r="F86" s="13">
        <v>60</v>
      </c>
      <c r="G86" s="27">
        <f t="shared" si="18"/>
        <v>60</v>
      </c>
      <c r="H86" s="22"/>
      <c r="I86" s="26"/>
      <c r="J86" s="13"/>
      <c r="K86" s="13"/>
      <c r="L86" s="27">
        <f>IF(I86="",0,IF(K86&gt;0,0,IF(I86="A",H86,IF(I86="M",H86*12,IF(I86="W",H86*(Lookups!$B$9+1),IF(I86="B",H86*(+Lookups!$B$10),IF(I86="S",H86*2,IF(AND(H86=0,K86&gt;0),K86,"ERROR"))))))))</f>
        <v>0</v>
      </c>
      <c r="M86" s="22"/>
      <c r="N86" s="26"/>
      <c r="O86" s="13"/>
      <c r="P86" s="27">
        <f>IF(M86="",0,IF(O86&gt;0,0,IF(N86="A",M86,IF(N86="M",M86*12,IF(N86="W",M86*Lookups!B$9,IF(N86="B",M86*+Lookups!B$10,IF(N86="S",M86*2,IF(AND(M86=0,O86&gt;0),O86,"ERROR"))))))))</f>
        <v>0</v>
      </c>
      <c r="Q86" s="149" t="str">
        <f>IF(OR(AND(P86=0,H86=0),O86&gt;0),"",IF(AND(I86="W",N86="W"),ROUND(P86-(H86*Lookups!$B$9),0),ROUND(+P86-L86,0)))</f>
        <v/>
      </c>
      <c r="R86" s="91" t="str">
        <f t="shared" si="23"/>
        <v/>
      </c>
      <c r="S86" s="24"/>
      <c r="T86" s="179" t="str">
        <f t="shared" si="20"/>
        <v/>
      </c>
      <c r="U86" s="175" t="str">
        <f t="shared" si="21"/>
        <v/>
      </c>
      <c r="V86" s="175" t="str">
        <f t="shared" si="19"/>
        <v/>
      </c>
      <c r="W86" s="13" t="str">
        <f t="shared" si="22"/>
        <v/>
      </c>
      <c r="X86" s="13"/>
      <c r="Y86" s="140"/>
    </row>
    <row r="87" spans="1:30" x14ac:dyDescent="0.35">
      <c r="B87" s="28" t="s">
        <v>272</v>
      </c>
      <c r="C87" s="4" t="s">
        <v>273</v>
      </c>
      <c r="D87" s="13">
        <v>80</v>
      </c>
      <c r="E87" s="22"/>
      <c r="F87" s="13">
        <v>20</v>
      </c>
      <c r="G87" s="27">
        <f t="shared" si="18"/>
        <v>20</v>
      </c>
      <c r="H87" s="22"/>
      <c r="I87" s="26"/>
      <c r="J87" s="13">
        <v>365</v>
      </c>
      <c r="K87" s="13"/>
      <c r="L87" s="27">
        <f>IF(I87="",0,IF(K87&gt;0,0,IF(I87="A",H87,IF(I87="M",H87*12,IF(I87="W",H87*(Lookups!$B$9+1),IF(I87="B",H87*(+Lookups!$B$10),IF(I87="S",H87*2,IF(AND(H87=0,K87&gt;0),K87,"ERROR"))))))))</f>
        <v>0</v>
      </c>
      <c r="M87" s="22"/>
      <c r="N87" s="26"/>
      <c r="O87" s="13">
        <v>400</v>
      </c>
      <c r="P87" s="27">
        <f>IF(M87="",0,IF(O87&gt;0,0,IF(N87="A",M87,IF(N87="M",M87*12,IF(N87="W",M87*Lookups!B$9,IF(N87="B",M87*+Lookups!B$10,IF(N87="S",M87*2,IF(AND(M87=0,O87&gt;0),O87,"ERROR"))))))))</f>
        <v>0</v>
      </c>
      <c r="Q87" s="149" t="str">
        <f>IF(OR(AND(P87=0,H87=0),O87&gt;0),"",IF(AND(I87="W",N87="W"),ROUND(P87-(H87*Lookups!$B$9),0),ROUND(+P87-L87,0)))</f>
        <v/>
      </c>
      <c r="R87" s="91" t="str">
        <f t="shared" si="23"/>
        <v>E</v>
      </c>
      <c r="S87" s="24">
        <v>180</v>
      </c>
      <c r="T87" s="179">
        <f t="shared" si="20"/>
        <v>400</v>
      </c>
      <c r="U87" s="175" t="str">
        <f t="shared" si="21"/>
        <v/>
      </c>
      <c r="V87" s="175" t="str">
        <f t="shared" si="19"/>
        <v/>
      </c>
      <c r="W87" s="13" t="str">
        <f t="shared" si="22"/>
        <v/>
      </c>
      <c r="X87" s="13"/>
      <c r="Y87" s="140"/>
    </row>
    <row r="88" spans="1:30" x14ac:dyDescent="0.35">
      <c r="B88" s="28" t="s">
        <v>274</v>
      </c>
      <c r="C88" s="4" t="s">
        <v>275</v>
      </c>
      <c r="D88" s="13">
        <v>900</v>
      </c>
      <c r="E88" s="22"/>
      <c r="F88" s="13">
        <v>675</v>
      </c>
      <c r="G88" s="27">
        <f t="shared" si="18"/>
        <v>675</v>
      </c>
      <c r="H88" s="22"/>
      <c r="I88" s="26"/>
      <c r="J88" s="13">
        <v>900</v>
      </c>
      <c r="K88" s="13">
        <v>700</v>
      </c>
      <c r="L88" s="27">
        <f>IF(I88="",0,IF(K88&gt;0,0,IF(I88="A",H88,IF(I88="M",H88*12,IF(I88="W",H88*(Lookups!$B$9+1),IF(I88="B",H88*(+Lookups!$B$10),IF(I88="S",H88*2,IF(AND(H88=0,K88&gt;0),K88,"ERROR"))))))))</f>
        <v>0</v>
      </c>
      <c r="M88" s="22"/>
      <c r="N88" s="26"/>
      <c r="O88" s="13">
        <f>75*12</f>
        <v>900</v>
      </c>
      <c r="P88" s="27">
        <f>IF(M88="",0,IF(O88&gt;0,0,IF(N88="A",M88,IF(N88="M",M88*12,IF(N88="W",M88*Lookups!B$9,IF(N88="B",M88*+Lookups!B$10,IF(N88="S",M88*2,IF(AND(M88=0,O88&gt;0),O88,"ERROR"))))))))</f>
        <v>0</v>
      </c>
      <c r="Q88" s="149" t="str">
        <f>IF(OR(AND(P88=0,H88=0),O88&gt;0),"",IF(AND(I88="W",N88="W"),ROUND(P88-(H88*Lookups!$B$9),0),ROUND(+P88-L88,0)))</f>
        <v/>
      </c>
      <c r="R88" s="91" t="str">
        <f t="shared" si="23"/>
        <v>E</v>
      </c>
      <c r="S88" s="24">
        <v>150</v>
      </c>
      <c r="T88" s="179">
        <f t="shared" si="20"/>
        <v>900</v>
      </c>
      <c r="U88" s="175" t="str">
        <f t="shared" si="21"/>
        <v/>
      </c>
      <c r="V88" s="175" t="str">
        <f t="shared" si="19"/>
        <v/>
      </c>
      <c r="W88" s="13" t="str">
        <f t="shared" si="22"/>
        <v/>
      </c>
      <c r="X88" s="13"/>
      <c r="Y88" s="140"/>
    </row>
    <row r="89" spans="1:30" x14ac:dyDescent="0.35">
      <c r="B89" s="166" t="s">
        <v>118</v>
      </c>
      <c r="C89" s="4" t="s">
        <v>119</v>
      </c>
      <c r="D89" s="13">
        <v>1150</v>
      </c>
      <c r="E89" s="22">
        <v>1000</v>
      </c>
      <c r="F89" s="13">
        <v>400</v>
      </c>
      <c r="G89" s="27">
        <f t="shared" si="18"/>
        <v>400</v>
      </c>
      <c r="H89" s="22">
        <v>1200</v>
      </c>
      <c r="I89" s="26" t="s">
        <v>40</v>
      </c>
      <c r="J89" s="13">
        <v>350</v>
      </c>
      <c r="K89" s="13"/>
      <c r="L89" s="27">
        <f>IF(I89="",0,IF(K89&gt;0,0,IF(I89="A",H89,IF(I89="M",H89*12,IF(I89="W",H89*(Lookups!$B$9+1),IF(I89="B",H89*(+Lookups!$B$10),IF(I89="S",H89*2,IF(AND(H89=0,K89&gt;0),K89,"ERROR"))))))))</f>
        <v>1200</v>
      </c>
      <c r="M89" s="22"/>
      <c r="N89" s="26"/>
      <c r="O89" s="13">
        <v>300</v>
      </c>
      <c r="P89" s="27">
        <f>IF(M89="",0,IF(O89&gt;0,0,IF(N89="A",M89,IF(N89="M",M89*12,IF(N89="W",M89*Lookups!B$9,IF(N89="B",M89*+Lookups!B$10,IF(N89="S",M89*2,IF(AND(M89=0,O89&gt;0),O89,"ERROR"))))))))</f>
        <v>0</v>
      </c>
      <c r="Q89" s="149" t="str">
        <f>IF(OR(AND(P89=0,H89=0),O89&gt;0),"",IF(AND(I89="W",N89="W"),ROUND(P89-(H89*Lookups!$B$9),0),ROUND(+P89-L89,0)))</f>
        <v/>
      </c>
      <c r="R89" s="91" t="str">
        <f t="shared" si="23"/>
        <v>E</v>
      </c>
      <c r="S89" s="24">
        <v>20</v>
      </c>
      <c r="T89" s="179">
        <f t="shared" si="20"/>
        <v>300</v>
      </c>
      <c r="U89" s="175" t="str">
        <f t="shared" si="21"/>
        <v/>
      </c>
      <c r="V89" s="175" t="str">
        <f t="shared" si="19"/>
        <v/>
      </c>
      <c r="W89" s="13" t="str">
        <f t="shared" si="22"/>
        <v/>
      </c>
      <c r="X89" s="13"/>
      <c r="Y89" s="140"/>
      <c r="Z89" s="67" t="s">
        <v>454</v>
      </c>
      <c r="AA89" s="68" t="s">
        <v>455</v>
      </c>
      <c r="AB89" s="68" t="s">
        <v>402</v>
      </c>
      <c r="AC89" s="69" t="s">
        <v>403</v>
      </c>
      <c r="AD89" s="70">
        <v>53406</v>
      </c>
    </row>
    <row r="90" spans="1:30" ht="15" customHeight="1" x14ac:dyDescent="0.35">
      <c r="B90" s="166" t="s">
        <v>120</v>
      </c>
      <c r="C90" s="4" t="s">
        <v>121</v>
      </c>
      <c r="D90" s="13">
        <v>1200</v>
      </c>
      <c r="E90" s="22">
        <v>1200</v>
      </c>
      <c r="F90" s="13">
        <v>600</v>
      </c>
      <c r="G90" s="27">
        <f t="shared" si="18"/>
        <v>600</v>
      </c>
      <c r="H90" s="22">
        <v>100</v>
      </c>
      <c r="I90" s="26" t="s">
        <v>44</v>
      </c>
      <c r="J90" s="13">
        <v>1200</v>
      </c>
      <c r="K90" s="13"/>
      <c r="L90" s="27">
        <f>IF(I90="",0,IF(K90&gt;0,0,IF(I90="A",H90,IF(I90="M",H90*12,IF(I90="W",H90*(Lookups!$B$9+1),IF(I90="B",H90*(+Lookups!$B$10),IF(I90="S",H90*2,IF(AND(H90=0,K90&gt;0),K90,"ERROR"))))))))</f>
        <v>1200</v>
      </c>
      <c r="M90" s="22"/>
      <c r="N90" s="26"/>
      <c r="O90" s="13">
        <v>1000</v>
      </c>
      <c r="P90" s="27">
        <f>IF(M90="",0,IF(O90&gt;0,0,IF(N90="A",M90,IF(N90="M",M90*12,IF(N90="W",M90*Lookups!B$9,IF(N90="B",M90*+Lookups!B$10,IF(N90="S",M90*2,IF(AND(M90=0,O90&gt;0),O90,"ERROR"))))))))</f>
        <v>0</v>
      </c>
      <c r="Q90" s="149" t="str">
        <f>IF(OR(AND(P90=0,H90=0),O90&gt;0),"",IF(AND(I90="W",N90="W"),ROUND(P90-(H90*Lookups!$B$9),0),ROUND(+P90-L90,0)))</f>
        <v/>
      </c>
      <c r="R90" s="91" t="str">
        <f t="shared" si="23"/>
        <v>E</v>
      </c>
      <c r="S90" s="24"/>
      <c r="T90" s="179" t="str">
        <f t="shared" si="20"/>
        <v/>
      </c>
      <c r="U90" s="175">
        <f t="shared" si="21"/>
        <v>1000</v>
      </c>
      <c r="V90" s="175" t="str">
        <f t="shared" si="19"/>
        <v/>
      </c>
      <c r="W90" s="13" t="str">
        <f t="shared" si="22"/>
        <v/>
      </c>
      <c r="X90" s="13"/>
      <c r="Y90" s="140"/>
    </row>
    <row r="91" spans="1:30" ht="15" customHeight="1" x14ac:dyDescent="0.35">
      <c r="A91" s="157" t="s">
        <v>650</v>
      </c>
      <c r="B91" s="28" t="s">
        <v>635</v>
      </c>
      <c r="C91" s="4" t="s">
        <v>636</v>
      </c>
      <c r="D91" s="13"/>
      <c r="E91" s="22"/>
      <c r="F91" s="13"/>
      <c r="G91" s="27">
        <f t="shared" si="18"/>
        <v>0</v>
      </c>
      <c r="H91" s="22"/>
      <c r="I91" s="26"/>
      <c r="J91" s="13">
        <v>20</v>
      </c>
      <c r="K91" s="13"/>
      <c r="L91" s="27">
        <f>IF(I91="",0,IF(K91&gt;0,0,IF(I91="A",H91,IF(I91="M",H91*12,IF(I91="W",H91*(Lookups!$B$9+1),IF(I91="B",H91*(+Lookups!$B$10),IF(I91="S",H91*2,IF(AND(H91=0,K91&gt;0),K91,"ERROR"))))))))</f>
        <v>0</v>
      </c>
      <c r="M91" s="22"/>
      <c r="N91" s="26"/>
      <c r="O91" s="13"/>
      <c r="P91" s="27">
        <f>IF(M91="",0,IF(O91&gt;0,0,IF(N91="A",M91,IF(N91="M",M91*12,IF(N91="W",M91*Lookups!B$9,IF(N91="B",M91*+Lookups!B$10,IF(N91="S",M91*2,IF(AND(M91=0,O91&gt;0),O91,"ERROR"))))))))</f>
        <v>0</v>
      </c>
      <c r="Q91" s="149" t="str">
        <f>IF(OR(AND(P91=0,H91=0),O91&gt;0),"",IF(AND(I91="W",N91="W"),ROUND(P91-(H91*Lookups!$B$9),0),ROUND(+P91-L91,0)))</f>
        <v/>
      </c>
      <c r="R91" s="91" t="str">
        <f t="shared" si="23"/>
        <v/>
      </c>
      <c r="S91" s="24"/>
      <c r="T91" s="179" t="str">
        <f t="shared" si="20"/>
        <v/>
      </c>
      <c r="U91" s="175">
        <f t="shared" si="21"/>
        <v>0</v>
      </c>
      <c r="V91" s="175">
        <f t="shared" si="19"/>
        <v>0</v>
      </c>
      <c r="W91" s="13" t="str">
        <f t="shared" si="22"/>
        <v/>
      </c>
      <c r="X91" s="13"/>
      <c r="Y91" s="140"/>
    </row>
    <row r="92" spans="1:30" x14ac:dyDescent="0.35">
      <c r="B92" s="166" t="s">
        <v>122</v>
      </c>
      <c r="C92" s="4" t="s">
        <v>123</v>
      </c>
      <c r="D92" s="13">
        <v>250</v>
      </c>
      <c r="E92" s="22">
        <v>250</v>
      </c>
      <c r="F92" s="13">
        <v>250</v>
      </c>
      <c r="G92" s="27">
        <f t="shared" si="18"/>
        <v>250</v>
      </c>
      <c r="H92" s="22"/>
      <c r="I92" s="26"/>
      <c r="J92" s="13">
        <v>250</v>
      </c>
      <c r="K92" s="13">
        <v>250</v>
      </c>
      <c r="L92" s="27">
        <f>IF(I92="",0,IF(K92&gt;0,0,IF(I92="A",H92,IF(I92="M",H92*12,IF(I92="W",H92*(Lookups!$B$9+1),IF(I92="B",H92*(+Lookups!$B$10),IF(I92="S",H92*2,IF(AND(H92=0,K92&gt;0),K92,"ERROR"))))))))</f>
        <v>0</v>
      </c>
      <c r="M92" s="22"/>
      <c r="N92" s="26"/>
      <c r="O92" s="13">
        <v>250</v>
      </c>
      <c r="P92" s="27">
        <f>IF(M92="",0,IF(O92&gt;0,0,IF(N92="A",M92,IF(N92="M",M92*12,IF(N92="W",M92*Lookups!B$9,IF(N92="B",M92*+Lookups!B$10,IF(N92="S",M92*2,IF(AND(M92=0,O92&gt;0),O92,"ERROR"))))))))</f>
        <v>0</v>
      </c>
      <c r="Q92" s="149" t="str">
        <f>IF(OR(AND(P92=0,H92=0),O92&gt;0),"",IF(AND(I92="W",N92="W"),ROUND(P92-(H92*Lookups!$B$9),0),ROUND(+P92-L92,0)))</f>
        <v/>
      </c>
      <c r="R92" s="91" t="str">
        <f t="shared" si="23"/>
        <v>E</v>
      </c>
      <c r="S92" s="24">
        <v>100</v>
      </c>
      <c r="T92" s="179">
        <f t="shared" si="20"/>
        <v>250</v>
      </c>
      <c r="U92" s="175" t="str">
        <f t="shared" si="21"/>
        <v/>
      </c>
      <c r="V92" s="175" t="str">
        <f t="shared" si="19"/>
        <v/>
      </c>
      <c r="W92" s="13" t="str">
        <f t="shared" si="22"/>
        <v/>
      </c>
      <c r="X92" s="13"/>
      <c r="Y92" s="140"/>
    </row>
    <row r="93" spans="1:30" x14ac:dyDescent="0.35">
      <c r="B93" s="28" t="s">
        <v>124</v>
      </c>
      <c r="C93" s="4" t="s">
        <v>125</v>
      </c>
      <c r="D93" s="13">
        <v>1200</v>
      </c>
      <c r="E93" s="22">
        <v>1200</v>
      </c>
      <c r="F93" s="13">
        <v>1300</v>
      </c>
      <c r="G93" s="27">
        <f t="shared" si="18"/>
        <v>1300</v>
      </c>
      <c r="H93" s="22">
        <v>1200</v>
      </c>
      <c r="I93" s="26" t="s">
        <v>40</v>
      </c>
      <c r="J93" s="13">
        <v>1200</v>
      </c>
      <c r="K93" s="13"/>
      <c r="L93" s="27">
        <f>IF(I93="",0,IF(K93&gt;0,0,IF(I93="A",H93,IF(I93="M",H93*12,IF(I93="W",H93*(Lookups!$B$9+1),IF(I93="B",H93*(+Lookups!$B$10),IF(I93="S",H93*2,IF(AND(H93=0,K93&gt;0),K93,"ERROR"))))))))</f>
        <v>1200</v>
      </c>
      <c r="M93" s="22">
        <v>1200</v>
      </c>
      <c r="N93" s="26" t="s">
        <v>40</v>
      </c>
      <c r="O93" s="13"/>
      <c r="P93" s="172">
        <f>IF(M93="",0,IF(O93&gt;0,0,IF(N93="A",M93,IF(N93="M",M93*12,IF(N93="W",M93*Lookups!B$9,IF(N93="B",M93*+Lookups!B$10,IF(N93="S",M93*2,IF(AND(M93=0,O93&gt;0),O93,"ERROR"))))))))</f>
        <v>1200</v>
      </c>
      <c r="Q93" s="149">
        <f>IF(OR(AND(P93=0,H93=0),O93&gt;0),"",IF(AND(I93="W",N93="W"),ROUND(P93-(H93*Lookups!$B$9),0),ROUND(+P93-L93,0)))</f>
        <v>0</v>
      </c>
      <c r="R93" s="91" t="str">
        <f t="shared" si="23"/>
        <v>S</v>
      </c>
      <c r="S93" s="24"/>
      <c r="T93" s="179" t="str">
        <f t="shared" si="20"/>
        <v/>
      </c>
      <c r="U93" s="175">
        <f t="shared" si="21"/>
        <v>0</v>
      </c>
      <c r="V93" s="175" t="str">
        <f t="shared" si="19"/>
        <v/>
      </c>
      <c r="W93" s="13" t="str">
        <f t="shared" si="22"/>
        <v/>
      </c>
      <c r="X93" s="13"/>
      <c r="Y93" s="140"/>
      <c r="Z93" s="67" t="s">
        <v>456</v>
      </c>
      <c r="AA93" s="68" t="s">
        <v>457</v>
      </c>
      <c r="AB93" s="68" t="s">
        <v>402</v>
      </c>
      <c r="AC93" s="69" t="s">
        <v>403</v>
      </c>
      <c r="AD93" s="70">
        <v>53406</v>
      </c>
    </row>
    <row r="94" spans="1:30" x14ac:dyDescent="0.35">
      <c r="B94" s="28" t="s">
        <v>126</v>
      </c>
      <c r="C94" s="4" t="s">
        <v>123</v>
      </c>
      <c r="D94" s="13">
        <v>2100</v>
      </c>
      <c r="E94" s="22">
        <v>2280</v>
      </c>
      <c r="F94" s="13">
        <v>1710</v>
      </c>
      <c r="G94" s="27">
        <f t="shared" si="18"/>
        <v>2280</v>
      </c>
      <c r="H94" s="22">
        <v>190</v>
      </c>
      <c r="I94" s="26" t="s">
        <v>44</v>
      </c>
      <c r="J94" s="13">
        <v>2290</v>
      </c>
      <c r="K94" s="13"/>
      <c r="L94" s="27">
        <f>IF(I94="",0,IF(K94&gt;0,0,IF(I94="A",H94,IF(I94="M",H94*12,IF(I94="W",H94*(Lookups!$B$9+1),IF(I94="B",H94*(+Lookups!$B$10),IF(I94="S",H94*2,IF(AND(H94=0,K94&gt;0),K94,"ERROR"))))))))</f>
        <v>2280</v>
      </c>
      <c r="M94" s="22">
        <v>200</v>
      </c>
      <c r="N94" s="26" t="s">
        <v>44</v>
      </c>
      <c r="O94" s="13"/>
      <c r="P94" s="27">
        <f>IF(M94="",0,IF(O94&gt;0,0,IF(N94="A",M94,IF(N94="M",M94*12,IF(N94="W",M94*Lookups!B$9,IF(N94="B",M94*+Lookups!B$10,IF(N94="S",M94*2,IF(AND(M94=0,O94&gt;0),O94,"ERROR"))))))))</f>
        <v>2400</v>
      </c>
      <c r="Q94" s="149">
        <f>IF(OR(AND(P94=0,H94=0),O94&gt;0),"",IF(AND(I94="W",N94="W"),ROUND(P94-(H94*Lookups!$B$9),0),ROUND(+P94-L94,0)))</f>
        <v>120</v>
      </c>
      <c r="R94" s="91" t="str">
        <f t="shared" si="23"/>
        <v>I</v>
      </c>
      <c r="S94" s="24">
        <v>400</v>
      </c>
      <c r="T94" s="179">
        <f t="shared" si="20"/>
        <v>0</v>
      </c>
      <c r="U94" s="175" t="str">
        <f t="shared" si="21"/>
        <v/>
      </c>
      <c r="V94" s="175" t="str">
        <f t="shared" si="19"/>
        <v/>
      </c>
      <c r="W94" s="13" t="str">
        <f t="shared" si="22"/>
        <v/>
      </c>
      <c r="X94" s="13"/>
      <c r="Y94" s="140"/>
      <c r="Z94" s="67" t="s">
        <v>458</v>
      </c>
      <c r="AA94" s="68" t="s">
        <v>459</v>
      </c>
      <c r="AB94" s="68" t="s">
        <v>402</v>
      </c>
      <c r="AC94" s="69" t="s">
        <v>403</v>
      </c>
      <c r="AD94" s="70">
        <v>53406</v>
      </c>
    </row>
    <row r="95" spans="1:30" x14ac:dyDescent="0.35">
      <c r="B95" s="28" t="s">
        <v>684</v>
      </c>
      <c r="C95" s="4" t="s">
        <v>685</v>
      </c>
      <c r="D95" s="13"/>
      <c r="E95" s="22"/>
      <c r="F95" s="13"/>
      <c r="G95" s="27">
        <f t="shared" ref="G95" si="26">IF(E95=0,F95,IF(AND(F95=0,J95="A"),E95,IF(F95&gt;E95,F95, IF(F95/E95&gt;0.73,E95,F95))))</f>
        <v>0</v>
      </c>
      <c r="H95" s="22"/>
      <c r="I95" s="26"/>
      <c r="J95" s="13">
        <v>800</v>
      </c>
      <c r="K95" s="13"/>
      <c r="L95" s="27">
        <f>IF(I95="",0,IF(K95&gt;0,0,IF(I95="A",H95,IF(I95="M",H95*12,IF(I95="W",H95*(Lookups!$B$9+1),IF(I95="B",H95*(+Lookups!$B$10),IF(I95="S",H95*2,IF(AND(H95=0,K95&gt;0),K95,"ERROR"))))))))</f>
        <v>0</v>
      </c>
      <c r="M95" s="22"/>
      <c r="N95" s="26"/>
      <c r="O95" s="13">
        <v>1000</v>
      </c>
      <c r="P95" s="27">
        <f>IF(M95="",0,IF(O95&gt;0,0,IF(N95="A",M95,IF(N95="M",M95*12,IF(N95="W",M95*Lookups!B$9,IF(N95="B",M95*+Lookups!B$10,IF(N95="S",M95*2,IF(AND(M95=0,O95&gt;0),O95,"ERROR"))))))))</f>
        <v>0</v>
      </c>
      <c r="Q95" s="149" t="str">
        <f>IF(OR(AND(P95=0,H95=0),O95&gt;0),"",IF(AND(I95="W",N95="W"),ROUND(P95-(H95*Lookups!$B$9),0),ROUND(+P95-L95,0)))</f>
        <v/>
      </c>
      <c r="R95" s="91" t="str">
        <f t="shared" ref="R95" si="27">IF(AND(O95&gt;0,J95&gt;0),"E",IF(Q95="","",IF(Q95=0,"S",IF(AND(Q95&gt;0,NOT(H95=0)),"I",IF(AND(Q95&gt;0,H95=0),"N",IF(Q95&lt;0,"D","ERROR"))))))</f>
        <v>E</v>
      </c>
      <c r="S95" s="24"/>
      <c r="T95" s="179" t="str">
        <f t="shared" ref="T95" si="28">IF(AND(S95&gt;0,J95&gt;0),O95,"")</f>
        <v/>
      </c>
      <c r="U95" s="175">
        <f t="shared" ref="U95" si="29">IF(AND(S95&lt;1,J95&gt;0),O95,"")</f>
        <v>1000</v>
      </c>
      <c r="V95" s="175" t="str">
        <f t="shared" si="19"/>
        <v/>
      </c>
      <c r="W95" s="13" t="str">
        <f t="shared" ref="W95" si="30">IF(X95="","",P95)</f>
        <v/>
      </c>
      <c r="X95" s="13"/>
      <c r="Y95" s="140"/>
      <c r="Z95" s="67"/>
    </row>
    <row r="96" spans="1:30" ht="29" x14ac:dyDescent="0.35">
      <c r="B96" s="28" t="s">
        <v>127</v>
      </c>
      <c r="C96" s="4" t="s">
        <v>128</v>
      </c>
      <c r="D96" s="13">
        <v>4420</v>
      </c>
      <c r="E96" s="22">
        <v>4680</v>
      </c>
      <c r="F96" s="13">
        <v>3510</v>
      </c>
      <c r="G96" s="27">
        <f t="shared" si="18"/>
        <v>4680</v>
      </c>
      <c r="H96" s="22">
        <v>95</v>
      </c>
      <c r="I96" s="26" t="s">
        <v>43</v>
      </c>
      <c r="J96" s="13">
        <v>4940</v>
      </c>
      <c r="K96" s="13"/>
      <c r="L96" s="27">
        <f>IF(I96="",0,IF(K96&gt;0,0,IF(I96="A",H96,IF(I96="M",H96*12,IF(I96="W",H96*(Lookups!$B$9+1),IF(I96="B",H96*(+Lookups!$B$10),IF(I96="S",H96*2,IF(AND(H96=0,K96&gt;0),K96,"ERROR"))))))))</f>
        <v>5035</v>
      </c>
      <c r="M96" s="22">
        <v>100</v>
      </c>
      <c r="N96" s="26" t="s">
        <v>43</v>
      </c>
      <c r="O96" s="13"/>
      <c r="P96" s="27">
        <f>IF(M96="",0,IF(O96&gt;0,0,IF(N96="A",M96,IF(N96="M",M96*12,IF(N96="W",M96*Lookups!B$9,IF(N96="B",M96*+Lookups!B$10,IF(N96="S",M96*2,IF(AND(M96=0,O96&gt;0),O96,"ERROR"))))))))</f>
        <v>5200</v>
      </c>
      <c r="Q96" s="149">
        <f>IF(OR(AND(P96=0,H96=0),O96&gt;0),"",IF(AND(I96="W",N96="W"),ROUND(P96-(H96*Lookups!$B$9),0),ROUND(+P96-L96,0)))</f>
        <v>260</v>
      </c>
      <c r="R96" s="91" t="str">
        <f t="shared" si="23"/>
        <v>I</v>
      </c>
      <c r="S96" s="24">
        <v>895</v>
      </c>
      <c r="T96" s="179">
        <f t="shared" si="20"/>
        <v>0</v>
      </c>
      <c r="U96" s="175" t="str">
        <f t="shared" si="21"/>
        <v/>
      </c>
      <c r="V96" s="175" t="str">
        <f t="shared" si="19"/>
        <v/>
      </c>
      <c r="W96" s="13">
        <f t="shared" si="22"/>
        <v>5200</v>
      </c>
      <c r="X96" s="13">
        <v>81</v>
      </c>
      <c r="Y96" s="140"/>
      <c r="Z96" s="137" t="s">
        <v>567</v>
      </c>
      <c r="AA96" s="68" t="s">
        <v>460</v>
      </c>
      <c r="AB96" s="68" t="s">
        <v>426</v>
      </c>
      <c r="AC96" s="69" t="s">
        <v>403</v>
      </c>
      <c r="AD96" s="70">
        <v>53405</v>
      </c>
    </row>
    <row r="97" spans="1:30" x14ac:dyDescent="0.35">
      <c r="B97" s="166" t="s">
        <v>129</v>
      </c>
      <c r="C97" s="4" t="s">
        <v>130</v>
      </c>
      <c r="D97" s="13">
        <v>624</v>
      </c>
      <c r="E97" s="22">
        <v>676</v>
      </c>
      <c r="F97" s="13">
        <v>507</v>
      </c>
      <c r="G97" s="27">
        <f t="shared" si="18"/>
        <v>676</v>
      </c>
      <c r="H97" s="22">
        <v>13</v>
      </c>
      <c r="I97" s="26" t="s">
        <v>43</v>
      </c>
      <c r="J97" s="13">
        <v>624</v>
      </c>
      <c r="K97" s="13"/>
      <c r="L97" s="27">
        <f>IF(I97="",0,IF(K97&gt;0,0,IF(I97="A",H97,IF(I97="M",H97*12,IF(I97="W",H97*(Lookups!$B$9+1),IF(I97="B",H97*(+Lookups!$B$10),IF(I97="S",H97*2,IF(AND(H97=0,K97&gt;0),K97,"ERROR"))))))))</f>
        <v>689</v>
      </c>
      <c r="M97" s="22"/>
      <c r="N97" s="26"/>
      <c r="O97" s="13">
        <v>600</v>
      </c>
      <c r="P97" s="27">
        <f>IF(M97="",0,IF(O97&gt;0,0,IF(N97="A",M97,IF(N97="M",M97*12,IF(N97="W",M97*Lookups!B$9,IF(N97="B",M97*+Lookups!B$10,IF(N97="S",M97*2,IF(AND(M97=0,O97&gt;0),O97,"ERROR"))))))))</f>
        <v>0</v>
      </c>
      <c r="Q97" s="149" t="str">
        <f>IF(OR(AND(P97=0,H97=0),O97&gt;0),"",IF(AND(I97="W",N97="W"),ROUND(P97-(H97*Lookups!$B$9),0),ROUND(+P97-L97,0)))</f>
        <v/>
      </c>
      <c r="R97" s="91" t="str">
        <f t="shared" si="23"/>
        <v>E</v>
      </c>
      <c r="S97" s="24">
        <v>104</v>
      </c>
      <c r="T97" s="179">
        <f t="shared" si="20"/>
        <v>600</v>
      </c>
      <c r="U97" s="175" t="str">
        <f t="shared" si="21"/>
        <v/>
      </c>
      <c r="V97" s="175" t="str">
        <f t="shared" si="19"/>
        <v/>
      </c>
      <c r="W97" s="13" t="str">
        <f t="shared" si="22"/>
        <v/>
      </c>
      <c r="X97" s="13"/>
      <c r="Y97" s="140"/>
      <c r="Z97" s="67"/>
    </row>
    <row r="98" spans="1:30" x14ac:dyDescent="0.35">
      <c r="B98" s="28" t="s">
        <v>131</v>
      </c>
      <c r="C98" s="4" t="s">
        <v>132</v>
      </c>
      <c r="D98" s="13">
        <v>6500</v>
      </c>
      <c r="E98" s="22">
        <v>7200</v>
      </c>
      <c r="F98" s="13">
        <v>5400</v>
      </c>
      <c r="G98" s="27">
        <f t="shared" si="18"/>
        <v>7200</v>
      </c>
      <c r="H98" s="22">
        <v>600</v>
      </c>
      <c r="I98" s="26" t="s">
        <v>44</v>
      </c>
      <c r="J98" s="13">
        <v>7225</v>
      </c>
      <c r="K98" s="13"/>
      <c r="L98" s="27">
        <f>IF(I98="",0,IF(K98&gt;0,0,IF(I98="A",H98,IF(I98="M",H98*12,IF(I98="W",H98*(Lookups!$B$9+1),IF(I98="B",H98*(+Lookups!$B$10),IF(I98="S",H98*2,IF(AND(H98=0,K98&gt;0),K98,"ERROR"))))))))</f>
        <v>7200</v>
      </c>
      <c r="M98" s="22">
        <v>650</v>
      </c>
      <c r="N98" s="26" t="s">
        <v>44</v>
      </c>
      <c r="O98" s="13"/>
      <c r="P98" s="27">
        <f>IF(M98="",0,IF(O98&gt;0,0,IF(N98="A",M98,IF(N98="M",M98*12,IF(N98="W",M98*Lookups!B$9,IF(N98="B",M98*+Lookups!B$10,IF(N98="S",M98*2,IF(AND(M98=0,O98&gt;0),O98,"ERROR"))))))))</f>
        <v>7800</v>
      </c>
      <c r="Q98" s="149">
        <f>IF(OR(AND(P98=0,H98=0),O98&gt;0),"",IF(AND(I98="W",N98="W"),ROUND(P98-(H98*Lookups!$B$9),0),ROUND(+P98-L98,0)))</f>
        <v>600</v>
      </c>
      <c r="R98" s="91" t="str">
        <f t="shared" si="23"/>
        <v>I</v>
      </c>
      <c r="S98" s="24">
        <v>975</v>
      </c>
      <c r="T98" s="179">
        <f t="shared" si="20"/>
        <v>0</v>
      </c>
      <c r="U98" s="175" t="str">
        <f t="shared" si="21"/>
        <v/>
      </c>
      <c r="V98" s="175" t="str">
        <f t="shared" si="19"/>
        <v/>
      </c>
      <c r="W98" s="13" t="str">
        <f t="shared" si="22"/>
        <v/>
      </c>
      <c r="X98" s="13"/>
      <c r="Y98" s="140"/>
      <c r="Z98" s="67" t="s">
        <v>461</v>
      </c>
      <c r="AA98" s="68" t="s">
        <v>568</v>
      </c>
      <c r="AB98" s="68" t="s">
        <v>426</v>
      </c>
      <c r="AC98" s="69" t="s">
        <v>403</v>
      </c>
      <c r="AD98" s="70">
        <v>53405</v>
      </c>
    </row>
    <row r="99" spans="1:30" x14ac:dyDescent="0.35">
      <c r="B99" s="28" t="s">
        <v>131</v>
      </c>
      <c r="C99" s="4" t="s">
        <v>133</v>
      </c>
      <c r="D99" s="13">
        <v>2000</v>
      </c>
      <c r="E99" s="22">
        <v>2500</v>
      </c>
      <c r="F99" s="13"/>
      <c r="G99" s="124">
        <v>2500</v>
      </c>
      <c r="H99" s="22">
        <v>2000</v>
      </c>
      <c r="I99" s="26" t="s">
        <v>40</v>
      </c>
      <c r="J99" s="13">
        <v>2535</v>
      </c>
      <c r="K99" s="13"/>
      <c r="L99" s="27">
        <f>IF(I99="",0,IF(K99&gt;0,0,IF(I99="A",H99,IF(I99="M",H99*12,IF(I99="W",H99*(Lookups!$B$9+1),IF(I99="B",H99*(+Lookups!$B$10),IF(I99="S",H99*2,IF(AND(H99=0,K99&gt;0),K99,"ERROR"))))))))</f>
        <v>2000</v>
      </c>
      <c r="M99" s="22">
        <v>2000</v>
      </c>
      <c r="N99" s="26" t="s">
        <v>40</v>
      </c>
      <c r="O99" s="13"/>
      <c r="P99" s="27">
        <f>IF(M99="",0,IF(O99&gt;0,0,IF(N99="A",M99,IF(N99="M",M99*12,IF(N99="W",M99*Lookups!B$9,IF(N99="B",M99*+Lookups!B$10,IF(N99="S",M99*2,IF(AND(M99=0,O99&gt;0),O99,"ERROR"))))))))</f>
        <v>2000</v>
      </c>
      <c r="Q99" s="149">
        <f>IF(OR(AND(P99=0,H99=0),O99&gt;0),"",IF(AND(I99="W",N99="W"),ROUND(P99-(H99*Lookups!$B$9),0),ROUND(+P99-L99,0)))</f>
        <v>0</v>
      </c>
      <c r="R99" s="91" t="str">
        <f t="shared" si="23"/>
        <v>S</v>
      </c>
      <c r="S99" s="24"/>
      <c r="T99" s="179" t="str">
        <f t="shared" si="20"/>
        <v/>
      </c>
      <c r="U99" s="175">
        <f t="shared" si="21"/>
        <v>0</v>
      </c>
      <c r="V99" s="175" t="str">
        <f t="shared" si="19"/>
        <v/>
      </c>
      <c r="W99" s="13" t="str">
        <f t="shared" si="22"/>
        <v/>
      </c>
      <c r="X99" s="13"/>
      <c r="Y99" s="140"/>
      <c r="Z99" s="67" t="s">
        <v>462</v>
      </c>
      <c r="AA99" s="68" t="s">
        <v>463</v>
      </c>
      <c r="AB99" s="68" t="s">
        <v>408</v>
      </c>
      <c r="AC99" s="69" t="s">
        <v>403</v>
      </c>
      <c r="AD99" s="70">
        <v>53126</v>
      </c>
    </row>
    <row r="100" spans="1:30" x14ac:dyDescent="0.35">
      <c r="B100" s="28" t="s">
        <v>134</v>
      </c>
      <c r="C100" s="4" t="s">
        <v>135</v>
      </c>
      <c r="D100" s="24">
        <v>20</v>
      </c>
      <c r="E100" s="22">
        <v>20</v>
      </c>
      <c r="F100" s="13">
        <v>35</v>
      </c>
      <c r="G100" s="27">
        <f t="shared" ref="G100:G133" si="31">IF(E100=0,F100,IF(AND(F100=0,J100="A"),E100,IF(F100&gt;E100,F100, IF(F100/E100&gt;0.73,E100,F100))))</f>
        <v>35</v>
      </c>
      <c r="H100" s="22"/>
      <c r="I100" s="26"/>
      <c r="J100" s="13">
        <v>85</v>
      </c>
      <c r="K100" s="13"/>
      <c r="L100" s="27">
        <f>IF(I100="",0,IF(K100&gt;0,0,IF(I100="A",H100,IF(I100="M",H100*12,IF(I100="W",H100*(Lookups!$B$9+1),IF(I100="B",H100*(+Lookups!$B$10),IF(I100="S",H100*2,IF(AND(H100=0,K100&gt;0),K100,"ERROR"))))))))</f>
        <v>0</v>
      </c>
      <c r="M100" s="22"/>
      <c r="N100" s="26"/>
      <c r="O100" s="13"/>
      <c r="P100" s="27">
        <f>IF(M100="",0,IF(O100&gt;0,0,IF(N100="A",M100,IF(N100="M",M100*12,IF(N100="W",M100*Lookups!B$9,IF(N100="B",M100*+Lookups!B$10,IF(N100="S",M100*2,IF(AND(M100=0,O100&gt;0),O100,"ERROR"))))))))</f>
        <v>0</v>
      </c>
      <c r="Q100" s="149" t="str">
        <f>IF(OR(AND(P100=0,H100=0),O100&gt;0),"",IF(AND(I100="W",N100="W"),ROUND(P100-(H100*Lookups!$B$9),0),ROUND(+P100-L100,0)))</f>
        <v/>
      </c>
      <c r="R100" s="91" t="str">
        <f t="shared" si="23"/>
        <v/>
      </c>
      <c r="S100" s="24">
        <v>20</v>
      </c>
      <c r="T100" s="179">
        <f t="shared" si="20"/>
        <v>0</v>
      </c>
      <c r="U100" s="175" t="str">
        <f t="shared" si="21"/>
        <v/>
      </c>
      <c r="V100" s="175" t="str">
        <f t="shared" si="19"/>
        <v/>
      </c>
      <c r="W100" s="13" t="str">
        <f t="shared" si="22"/>
        <v/>
      </c>
      <c r="X100" s="13"/>
      <c r="Y100" s="140"/>
    </row>
    <row r="101" spans="1:30" x14ac:dyDescent="0.35">
      <c r="B101" s="28" t="s">
        <v>276</v>
      </c>
      <c r="C101" s="4" t="s">
        <v>277</v>
      </c>
      <c r="D101" s="24">
        <v>1100</v>
      </c>
      <c r="E101" s="22"/>
      <c r="F101" s="13">
        <v>700</v>
      </c>
      <c r="G101" s="27">
        <f t="shared" si="31"/>
        <v>700</v>
      </c>
      <c r="H101" s="22"/>
      <c r="I101" s="26"/>
      <c r="J101" s="13">
        <v>1180</v>
      </c>
      <c r="K101" s="13">
        <v>700</v>
      </c>
      <c r="L101" s="27">
        <f>IF(I101="",0,IF(K101&gt;0,0,IF(I101="A",H101,IF(I101="M",H101*12,IF(I101="W",H101*(Lookups!$B$9+1),IF(I101="B",H101*(+Lookups!$B$10),IF(I101="S",H101*2,IF(AND(H101=0,K101&gt;0),K101,"ERROR"))))))))</f>
        <v>0</v>
      </c>
      <c r="M101" s="22"/>
      <c r="N101" s="26"/>
      <c r="O101" s="13">
        <v>1000</v>
      </c>
      <c r="P101" s="27">
        <f>IF(M101="",0,IF(O101&gt;0,0,IF(N101="A",M101,IF(N101="M",M101*12,IF(N101="W",M101*Lookups!B$9,IF(N101="B",M101*+Lookups!B$10,IF(N101="S",M101*2,IF(AND(M101=0,O101&gt;0),O101,"ERROR"))))))))</f>
        <v>0</v>
      </c>
      <c r="Q101" s="149" t="str">
        <f>IF(OR(AND(P101=0,H101=0),O101&gt;0),"",IF(AND(I101="W",N101="W"),ROUND(P101-(H101*Lookups!$B$9),0),ROUND(+P101-L101,0)))</f>
        <v/>
      </c>
      <c r="R101" s="91" t="str">
        <f t="shared" si="23"/>
        <v>E</v>
      </c>
      <c r="S101" s="24">
        <v>800</v>
      </c>
      <c r="T101" s="179">
        <f t="shared" si="20"/>
        <v>1000</v>
      </c>
      <c r="U101" s="175" t="str">
        <f t="shared" si="21"/>
        <v/>
      </c>
      <c r="V101" s="175" t="str">
        <f t="shared" si="19"/>
        <v/>
      </c>
      <c r="W101" s="13" t="str">
        <f t="shared" si="22"/>
        <v/>
      </c>
      <c r="X101" s="13"/>
      <c r="Y101" s="140"/>
    </row>
    <row r="102" spans="1:30" x14ac:dyDescent="0.35">
      <c r="B102" s="28" t="s">
        <v>276</v>
      </c>
      <c r="C102" s="4" t="s">
        <v>21</v>
      </c>
      <c r="D102" s="24">
        <v>4200</v>
      </c>
      <c r="E102" s="22"/>
      <c r="F102" s="13">
        <v>3100</v>
      </c>
      <c r="G102" s="27">
        <f t="shared" si="31"/>
        <v>3100</v>
      </c>
      <c r="H102" s="22"/>
      <c r="I102" s="26"/>
      <c r="J102" s="13">
        <v>2700</v>
      </c>
      <c r="K102" s="13">
        <v>4100</v>
      </c>
      <c r="L102" s="27">
        <f>IF(I102="",0,IF(K102&gt;0,0,IF(I102="A",H102,IF(I102="M",H102*12,IF(I102="W",H102*(Lookups!$B$9+1),IF(I102="B",H102*(+Lookups!$B$10),IF(I102="S",H102*2,IF(AND(H102=0,K102&gt;0),K102,"ERROR"))))))))</f>
        <v>0</v>
      </c>
      <c r="M102" s="22"/>
      <c r="N102" s="26"/>
      <c r="O102" s="13">
        <v>2700</v>
      </c>
      <c r="P102" s="27">
        <f>IF(M102="",0,IF(O102&gt;0,0,IF(N102="A",M102,IF(N102="M",M102*12,IF(N102="W",M102*Lookups!B$9,IF(N102="B",M102*+Lookups!B$10,IF(N102="S",M102*2,IF(AND(M102=0,O102&gt;0),O102,"ERROR"))))))))</f>
        <v>0</v>
      </c>
      <c r="Q102" s="149" t="str">
        <f>IF(OR(AND(P102=0,H102=0),O102&gt;0),"",IF(AND(I102="W",N102="W"),ROUND(P102-(H102*Lookups!$B$9),0),ROUND(+P102-L102,0)))</f>
        <v/>
      </c>
      <c r="R102" s="91" t="str">
        <f t="shared" si="23"/>
        <v>E</v>
      </c>
      <c r="S102" s="24"/>
      <c r="T102" s="179" t="str">
        <f t="shared" si="20"/>
        <v/>
      </c>
      <c r="U102" s="175">
        <f t="shared" si="21"/>
        <v>2700</v>
      </c>
      <c r="V102" s="175" t="str">
        <f t="shared" si="19"/>
        <v/>
      </c>
      <c r="W102" s="13" t="str">
        <f t="shared" si="22"/>
        <v/>
      </c>
      <c r="X102" s="13"/>
      <c r="Y102" s="140"/>
    </row>
    <row r="103" spans="1:30" x14ac:dyDescent="0.35">
      <c r="B103" s="28" t="s">
        <v>278</v>
      </c>
      <c r="C103" s="4" t="s">
        <v>279</v>
      </c>
      <c r="D103" s="24">
        <v>300</v>
      </c>
      <c r="E103" s="22"/>
      <c r="F103" s="13">
        <v>400</v>
      </c>
      <c r="G103" s="27">
        <f t="shared" si="31"/>
        <v>400</v>
      </c>
      <c r="H103" s="22"/>
      <c r="I103" s="26"/>
      <c r="J103" s="13">
        <v>200</v>
      </c>
      <c r="K103" s="13">
        <v>400</v>
      </c>
      <c r="L103" s="27">
        <f>IF(I103="",0,IF(K103&gt;0,0,IF(I103="A",H103,IF(I103="M",H103*12,IF(I103="W",H103*(Lookups!$B$9+1),IF(I103="B",H103*(+Lookups!$B$10),IF(I103="S",H103*2,IF(AND(H103=0,K103&gt;0),K103,"ERROR"))))))))</f>
        <v>0</v>
      </c>
      <c r="M103" s="22"/>
      <c r="N103" s="26"/>
      <c r="O103" s="13">
        <v>200</v>
      </c>
      <c r="P103" s="27">
        <f>IF(M103="",0,IF(O103&gt;0,0,IF(N103="A",M103,IF(N103="M",M103*12,IF(N103="W",M103*Lookups!B$9,IF(N103="B",M103*+Lookups!B$10,IF(N103="S",M103*2,IF(AND(M103=0,O103&gt;0),O103,"ERROR"))))))))</f>
        <v>0</v>
      </c>
      <c r="Q103" s="149" t="str">
        <f>IF(OR(AND(P103=0,H103=0),O103&gt;0),"",IF(AND(I103="W",N103="W"),ROUND(P103-(H103*Lookups!$B$9),0),ROUND(+P103-L103,0)))</f>
        <v/>
      </c>
      <c r="R103" s="91" t="str">
        <f t="shared" si="23"/>
        <v>E</v>
      </c>
      <c r="S103" s="24"/>
      <c r="T103" s="179" t="str">
        <f t="shared" si="20"/>
        <v/>
      </c>
      <c r="U103" s="175">
        <f t="shared" si="21"/>
        <v>200</v>
      </c>
      <c r="V103" s="175" t="str">
        <f t="shared" si="19"/>
        <v/>
      </c>
      <c r="W103" s="13" t="str">
        <f t="shared" si="22"/>
        <v/>
      </c>
      <c r="X103" s="13"/>
      <c r="Y103" s="140"/>
    </row>
    <row r="104" spans="1:30" x14ac:dyDescent="0.35">
      <c r="B104" s="28" t="s">
        <v>280</v>
      </c>
      <c r="C104" s="4" t="s">
        <v>281</v>
      </c>
      <c r="D104" s="24">
        <v>320</v>
      </c>
      <c r="E104" s="22"/>
      <c r="F104" s="13">
        <v>190</v>
      </c>
      <c r="G104" s="27">
        <f t="shared" si="31"/>
        <v>190</v>
      </c>
      <c r="H104" s="22"/>
      <c r="I104" s="26"/>
      <c r="J104" s="13">
        <v>260</v>
      </c>
      <c r="K104" s="13">
        <v>200</v>
      </c>
      <c r="L104" s="27">
        <f>IF(I104="",0,IF(K104&gt;0,0,IF(I104="A",H104,IF(I104="M",H104*12,IF(I104="W",H104*(Lookups!$B$9+1),IF(I104="B",H104*(+Lookups!$B$10),IF(I104="S",H104*2,IF(AND(H104=0,K104&gt;0),K104,"ERROR"))))))))</f>
        <v>0</v>
      </c>
      <c r="M104" s="22"/>
      <c r="N104" s="26"/>
      <c r="O104" s="13">
        <v>200</v>
      </c>
      <c r="P104" s="27">
        <f>IF(M104="",0,IF(O104&gt;0,0,IF(N104="A",M104,IF(N104="M",M104*12,IF(N104="W",M104*Lookups!B$9,IF(N104="B",M104*+Lookups!B$10,IF(N104="S",M104*2,IF(AND(M104=0,O104&gt;0),O104,"ERROR"))))))))</f>
        <v>0</v>
      </c>
      <c r="Q104" s="149" t="str">
        <f>IF(OR(AND(P104=0,H104=0),O104&gt;0),"",IF(AND(I104="W",N104="W"),ROUND(P104-(H104*Lookups!$B$9),0),ROUND(+P104-L104,0)))</f>
        <v/>
      </c>
      <c r="R104" s="91" t="str">
        <f t="shared" si="23"/>
        <v>E</v>
      </c>
      <c r="S104" s="24">
        <v>200</v>
      </c>
      <c r="T104" s="179">
        <f t="shared" si="20"/>
        <v>200</v>
      </c>
      <c r="U104" s="175" t="str">
        <f t="shared" si="21"/>
        <v/>
      </c>
      <c r="V104" s="175" t="str">
        <f t="shared" si="19"/>
        <v/>
      </c>
      <c r="W104" s="13" t="str">
        <f t="shared" si="22"/>
        <v/>
      </c>
      <c r="X104" s="13"/>
      <c r="Y104" s="140"/>
    </row>
    <row r="105" spans="1:30" x14ac:dyDescent="0.35">
      <c r="A105" s="157" t="s">
        <v>650</v>
      </c>
      <c r="B105" s="28" t="s">
        <v>282</v>
      </c>
      <c r="C105" s="4" t="s">
        <v>244</v>
      </c>
      <c r="D105" s="24">
        <v>45</v>
      </c>
      <c r="E105" s="22"/>
      <c r="F105" s="13"/>
      <c r="G105" s="27">
        <f t="shared" si="31"/>
        <v>0</v>
      </c>
      <c r="H105" s="22"/>
      <c r="I105" s="26"/>
      <c r="J105" s="13"/>
      <c r="K105" s="13"/>
      <c r="L105" s="27">
        <f>IF(I105="",0,IF(K105&gt;0,0,IF(I105="A",H105,IF(I105="M",H105*12,IF(I105="W",H105*(Lookups!$B$9+1),IF(I105="B",H105*(+Lookups!$B$10),IF(I105="S",H105*2,IF(AND(H105=0,K105&gt;0),K105,"ERROR"))))))))</f>
        <v>0</v>
      </c>
      <c r="M105" s="22"/>
      <c r="N105" s="26"/>
      <c r="O105" s="13"/>
      <c r="P105" s="27">
        <f>IF(M105="",0,IF(O105&gt;0,0,IF(N105="A",M105,IF(N105="M",M105*12,IF(N105="W",M105*Lookups!B$9,IF(N105="B",M105*+Lookups!B$10,IF(N105="S",M105*2,IF(AND(M105=0,O105&gt;0),O105,"ERROR"))))))))</f>
        <v>0</v>
      </c>
      <c r="Q105" s="149" t="str">
        <f>IF(OR(AND(P105=0,H105=0),O105&gt;0),"",IF(AND(I105="W",N105="W"),ROUND(P105-(H105*Lookups!$B$9),0),ROUND(+P105-L105,0)))</f>
        <v/>
      </c>
      <c r="R105" s="91" t="str">
        <f t="shared" si="23"/>
        <v/>
      </c>
      <c r="S105" s="24"/>
      <c r="T105" s="179" t="str">
        <f t="shared" si="20"/>
        <v/>
      </c>
      <c r="U105" s="175" t="str">
        <f t="shared" si="21"/>
        <v/>
      </c>
      <c r="V105" s="175" t="str">
        <f t="shared" si="19"/>
        <v/>
      </c>
      <c r="W105" s="13" t="str">
        <f t="shared" si="22"/>
        <v/>
      </c>
      <c r="X105" s="13"/>
      <c r="Y105" s="140"/>
    </row>
    <row r="106" spans="1:30" x14ac:dyDescent="0.35">
      <c r="B106" s="28" t="s">
        <v>283</v>
      </c>
      <c r="C106" s="4" t="s">
        <v>21</v>
      </c>
      <c r="D106" s="24">
        <v>125</v>
      </c>
      <c r="E106" s="22"/>
      <c r="F106" s="13">
        <v>100</v>
      </c>
      <c r="G106" s="27">
        <f t="shared" si="31"/>
        <v>100</v>
      </c>
      <c r="H106" s="22"/>
      <c r="I106" s="26"/>
      <c r="J106" s="13">
        <v>91</v>
      </c>
      <c r="K106" s="13">
        <v>100</v>
      </c>
      <c r="L106" s="27">
        <f>IF(I106="",0,IF(K106&gt;0,0,IF(I106="A",H106,IF(I106="M",H106*12,IF(I106="W",H106*(Lookups!$B$9+1),IF(I106="B",H106*(+Lookups!$B$10),IF(I106="S",H106*2,IF(AND(H106=0,K106&gt;0),K106,"ERROR"))))))))</f>
        <v>0</v>
      </c>
      <c r="M106" s="22"/>
      <c r="N106" s="26"/>
      <c r="O106" s="13">
        <v>100</v>
      </c>
      <c r="P106" s="27">
        <f>IF(M106="",0,IF(O106&gt;0,0,IF(N106="A",M106,IF(N106="M",M106*12,IF(N106="W",M106*Lookups!B$9,IF(N106="B",M106*+Lookups!B$10,IF(N106="S",M106*2,IF(AND(M106=0,O106&gt;0),O106,"ERROR"))))))))</f>
        <v>0</v>
      </c>
      <c r="Q106" s="149" t="str">
        <f>IF(OR(AND(P106=0,H106=0),O106&gt;0),"",IF(AND(I106="W",N106="W"),ROUND(P106-(H106*Lookups!$B$9),0),ROUND(+P106-L106,0)))</f>
        <v/>
      </c>
      <c r="R106" s="91" t="str">
        <f t="shared" si="23"/>
        <v>E</v>
      </c>
      <c r="S106" s="24">
        <v>50</v>
      </c>
      <c r="T106" s="179">
        <f t="shared" si="20"/>
        <v>100</v>
      </c>
      <c r="U106" s="175" t="str">
        <f t="shared" si="21"/>
        <v/>
      </c>
      <c r="V106" s="175" t="str">
        <f t="shared" si="19"/>
        <v/>
      </c>
      <c r="W106" s="13" t="str">
        <f t="shared" si="22"/>
        <v/>
      </c>
      <c r="X106" s="13"/>
      <c r="Y106" s="140" t="s">
        <v>572</v>
      </c>
      <c r="Z106" s="67" t="s">
        <v>569</v>
      </c>
      <c r="AA106" s="68" t="s">
        <v>570</v>
      </c>
      <c r="AB106" s="68" t="s">
        <v>571</v>
      </c>
      <c r="AC106" s="69" t="s">
        <v>403</v>
      </c>
      <c r="AD106" s="70">
        <v>53406</v>
      </c>
    </row>
    <row r="107" spans="1:30" x14ac:dyDescent="0.35">
      <c r="B107" s="28" t="s">
        <v>136</v>
      </c>
      <c r="C107" s="4" t="s">
        <v>284</v>
      </c>
      <c r="D107" s="24">
        <v>600</v>
      </c>
      <c r="E107" s="22"/>
      <c r="F107" s="13">
        <v>450</v>
      </c>
      <c r="G107" s="27">
        <f t="shared" si="31"/>
        <v>450</v>
      </c>
      <c r="H107" s="22"/>
      <c r="I107" s="26"/>
      <c r="J107" s="13">
        <v>600</v>
      </c>
      <c r="K107" s="13">
        <v>400</v>
      </c>
      <c r="L107" s="27">
        <f>IF(I107="",0,IF(K107&gt;0,0,IF(I107="A",H107,IF(I107="M",H107*12,IF(I107="W",H107*(Lookups!$B$9+1),IF(I107="B",H107*(+Lookups!$B$10),IF(I107="S",H107*2,IF(AND(H107=0,K107&gt;0),K107,"ERROR"))))))))</f>
        <v>0</v>
      </c>
      <c r="M107" s="22"/>
      <c r="N107" s="26"/>
      <c r="O107" s="13">
        <f>50*12</f>
        <v>600</v>
      </c>
      <c r="P107" s="27">
        <f>IF(M107="",0,IF(O107&gt;0,0,IF(N107="A",M107,IF(N107="M",M107*12,IF(N107="W",M107*Lookups!B$9,IF(N107="B",M107*+Lookups!B$10,IF(N107="S",M107*2,IF(AND(M107=0,O107&gt;0),O107,"ERROR"))))))))</f>
        <v>0</v>
      </c>
      <c r="Q107" s="149" t="str">
        <f>IF(OR(AND(P107=0,H107=0),O107&gt;0),"",IF(AND(I107="W",N107="W"),ROUND(P107-(H107*Lookups!$B$9),0),ROUND(+P107-L107,0)))</f>
        <v/>
      </c>
      <c r="R107" s="91" t="str">
        <f t="shared" si="23"/>
        <v>E</v>
      </c>
      <c r="S107" s="24">
        <v>100</v>
      </c>
      <c r="T107" s="179">
        <f t="shared" si="20"/>
        <v>600</v>
      </c>
      <c r="U107" s="175" t="str">
        <f t="shared" si="21"/>
        <v/>
      </c>
      <c r="V107" s="175" t="str">
        <f t="shared" si="19"/>
        <v/>
      </c>
      <c r="W107" s="13" t="str">
        <f t="shared" si="22"/>
        <v/>
      </c>
      <c r="X107" s="13"/>
      <c r="Y107" s="140"/>
    </row>
    <row r="108" spans="1:30" x14ac:dyDescent="0.35">
      <c r="B108" s="28" t="s">
        <v>136</v>
      </c>
      <c r="C108" s="4" t="s">
        <v>137</v>
      </c>
      <c r="D108" s="24">
        <v>180</v>
      </c>
      <c r="E108" s="22">
        <v>240</v>
      </c>
      <c r="F108" s="13">
        <v>180</v>
      </c>
      <c r="G108" s="27">
        <f t="shared" si="31"/>
        <v>240</v>
      </c>
      <c r="H108" s="22">
        <v>25</v>
      </c>
      <c r="I108" s="26" t="s">
        <v>43</v>
      </c>
      <c r="J108" s="13">
        <v>240</v>
      </c>
      <c r="K108" s="13"/>
      <c r="L108" s="27">
        <f>IF(I108="",0,IF(K108&gt;0,0,IF(I108="A",H108,IF(I108="M",H108*12,IF(I108="W",H108*(Lookups!$B$9+1),IF(I108="B",H108*(+Lookups!$B$10),IF(I108="S",H108*2,IF(AND(H108=0,K108&gt;0),K108,"ERROR"))))))))</f>
        <v>1325</v>
      </c>
      <c r="M108" s="22">
        <v>25</v>
      </c>
      <c r="N108" s="26" t="s">
        <v>44</v>
      </c>
      <c r="O108" s="13"/>
      <c r="P108" s="27">
        <f>IF(M108="",0,IF(O108&gt;0,0,IF(N108="A",M108,IF(N108="M",M108*12,IF(N108="W",M108*Lookups!B$9,IF(N108="B",M108*+Lookups!B$10,IF(N108="S",M108*2,IF(AND(M108=0,O108&gt;0),O108,"ERROR"))))))))</f>
        <v>300</v>
      </c>
      <c r="Q108" s="149">
        <f>IF(OR(AND(P108=0,H108=0),O108&gt;0),"",IF(AND(I108="W",N108="W"),ROUND(P108-(H108*Lookups!$B$9),0),ROUND(+P108-L108,0)))</f>
        <v>-1025</v>
      </c>
      <c r="R108" s="91" t="str">
        <f t="shared" si="23"/>
        <v>D</v>
      </c>
      <c r="S108" s="24">
        <v>100</v>
      </c>
      <c r="T108" s="179">
        <f t="shared" si="20"/>
        <v>0</v>
      </c>
      <c r="U108" s="175" t="str">
        <f t="shared" si="21"/>
        <v/>
      </c>
      <c r="V108" s="175" t="str">
        <f t="shared" si="19"/>
        <v/>
      </c>
      <c r="W108" s="13" t="str">
        <f t="shared" si="22"/>
        <v/>
      </c>
      <c r="X108" s="13"/>
      <c r="Y108" s="140"/>
    </row>
    <row r="109" spans="1:30" ht="29" x14ac:dyDescent="0.35">
      <c r="B109" s="28" t="s">
        <v>138</v>
      </c>
      <c r="C109" s="4" t="s">
        <v>139</v>
      </c>
      <c r="D109" s="24">
        <v>2118.64</v>
      </c>
      <c r="E109" s="22">
        <v>2200</v>
      </c>
      <c r="F109" s="13">
        <v>1000</v>
      </c>
      <c r="G109" s="27">
        <f t="shared" si="31"/>
        <v>1000</v>
      </c>
      <c r="H109" s="22">
        <v>2200</v>
      </c>
      <c r="I109" s="26" t="s">
        <v>40</v>
      </c>
      <c r="J109" s="13">
        <v>2215.94</v>
      </c>
      <c r="K109" s="13"/>
      <c r="L109" s="27">
        <f>IF(I109="",0,IF(K109&gt;0,0,IF(I109="A",H109,IF(I109="M",H109*12,IF(I109="W",H109*(Lookups!$B$9+1),IF(I109="B",H109*(+Lookups!$B$10),IF(I109="S",H109*2,IF(AND(H109=0,K109&gt;0),K109,"ERROR"))))))))</f>
        <v>2200</v>
      </c>
      <c r="M109" s="22">
        <v>2200</v>
      </c>
      <c r="N109" s="26" t="s">
        <v>40</v>
      </c>
      <c r="O109" s="13"/>
      <c r="P109" s="172">
        <f>IF(M109="",0,IF(O109&gt;0,0,IF(N109="A",M109,IF(N109="M",M109*12,IF(N109="W",M109*Lookups!B$9,IF(N109="B",M109*+Lookups!B$10,IF(N109="S",M109*2,IF(AND(M109=0,O109&gt;0),O109,"ERROR"))))))))</f>
        <v>2200</v>
      </c>
      <c r="Q109" s="149">
        <f>IF(OR(AND(P109=0,H109=0),O109&gt;0),"",IF(AND(I109="W",N109="W"),ROUND(P109-(H109*Lookups!$B$9),0),ROUND(+P109-L109,0)))</f>
        <v>0</v>
      </c>
      <c r="R109" s="91" t="str">
        <f t="shared" si="23"/>
        <v>S</v>
      </c>
      <c r="S109" s="24"/>
      <c r="T109" s="179" t="str">
        <f t="shared" si="20"/>
        <v/>
      </c>
      <c r="U109" s="175">
        <f t="shared" si="21"/>
        <v>0</v>
      </c>
      <c r="V109" s="175" t="str">
        <f t="shared" si="19"/>
        <v/>
      </c>
      <c r="W109" s="13" t="str">
        <f t="shared" si="22"/>
        <v/>
      </c>
      <c r="X109" s="13"/>
      <c r="Y109" s="140" t="s">
        <v>574</v>
      </c>
      <c r="Z109" s="137" t="s">
        <v>573</v>
      </c>
      <c r="AA109" s="68" t="s">
        <v>464</v>
      </c>
      <c r="AB109" s="68" t="s">
        <v>426</v>
      </c>
      <c r="AC109" s="69" t="s">
        <v>403</v>
      </c>
      <c r="AD109" s="70">
        <v>53406</v>
      </c>
    </row>
    <row r="110" spans="1:30" x14ac:dyDescent="0.35">
      <c r="B110" s="166" t="s">
        <v>140</v>
      </c>
      <c r="C110" s="4" t="s">
        <v>141</v>
      </c>
      <c r="D110" s="24">
        <v>1350</v>
      </c>
      <c r="E110" s="22">
        <v>1200</v>
      </c>
      <c r="F110" s="13">
        <v>800</v>
      </c>
      <c r="G110" s="27">
        <f t="shared" si="31"/>
        <v>800</v>
      </c>
      <c r="H110" s="22">
        <v>100</v>
      </c>
      <c r="I110" s="26" t="s">
        <v>44</v>
      </c>
      <c r="J110" s="13">
        <v>1500</v>
      </c>
      <c r="K110" s="13"/>
      <c r="L110" s="27">
        <f>IF(I110="",0,IF(K110&gt;0,0,IF(I110="A",H110,IF(I110="M",H110*12,IF(I110="W",H110*(Lookups!$B$9+1),IF(I110="B",H110*(+Lookups!$B$10),IF(I110="S",H110*2,IF(AND(H110=0,K110&gt;0),K110,"ERROR"))))))))</f>
        <v>1200</v>
      </c>
      <c r="M110" s="22">
        <v>100</v>
      </c>
      <c r="N110" s="26" t="s">
        <v>44</v>
      </c>
      <c r="O110" s="13"/>
      <c r="P110" s="27">
        <f>IF(M110="",0,IF(O110&gt;0,0,IF(N110="A",M110,IF(N110="M",M110*12,IF(N110="W",M110*Lookups!B$9,IF(N110="B",M110*+Lookups!B$10,IF(N110="S",M110*2,IF(AND(M110=0,O110&gt;0),O110,"ERROR"))))))))</f>
        <v>1200</v>
      </c>
      <c r="Q110" s="149">
        <f>IF(OR(AND(P110=0,H110=0),O110&gt;0),"",IF(AND(I110="W",N110="W"),ROUND(P110-(H110*Lookups!$B$9),0),ROUND(+P110-L110,0)))</f>
        <v>0</v>
      </c>
      <c r="R110" s="91" t="str">
        <f t="shared" si="23"/>
        <v>S</v>
      </c>
      <c r="S110" s="24">
        <v>280</v>
      </c>
      <c r="T110" s="179">
        <f t="shared" si="20"/>
        <v>0</v>
      </c>
      <c r="U110" s="175" t="str">
        <f t="shared" si="21"/>
        <v/>
      </c>
      <c r="V110" s="175" t="str">
        <f t="shared" si="19"/>
        <v/>
      </c>
      <c r="W110" s="13" t="str">
        <f t="shared" si="22"/>
        <v/>
      </c>
      <c r="X110" s="13"/>
      <c r="Y110" s="140"/>
      <c r="AA110" s="68" t="s">
        <v>465</v>
      </c>
      <c r="AB110" s="68" t="s">
        <v>426</v>
      </c>
      <c r="AC110" s="69" t="s">
        <v>403</v>
      </c>
      <c r="AD110" s="70">
        <v>53402</v>
      </c>
    </row>
    <row r="111" spans="1:30" x14ac:dyDescent="0.35">
      <c r="B111" s="173" t="s">
        <v>285</v>
      </c>
      <c r="C111" s="4" t="s">
        <v>286</v>
      </c>
      <c r="D111" s="24">
        <v>600</v>
      </c>
      <c r="E111" s="22"/>
      <c r="F111" s="13">
        <v>540</v>
      </c>
      <c r="G111" s="27">
        <f t="shared" si="31"/>
        <v>540</v>
      </c>
      <c r="H111" s="22"/>
      <c r="I111" s="26"/>
      <c r="J111" s="13">
        <v>720</v>
      </c>
      <c r="K111" s="13">
        <v>600</v>
      </c>
      <c r="L111" s="27">
        <f>IF(I111="",0,IF(K111&gt;0,0,IF(I111="A",H111,IF(I111="M",H111*12,IF(I111="W",H111*(Lookups!$B$9+1),IF(I111="B",H111*(+Lookups!$B$10),IF(I111="S",H111*2,IF(AND(H111=0,K111&gt;0),K111,"ERROR"))))))))</f>
        <v>0</v>
      </c>
      <c r="M111" s="22"/>
      <c r="N111" s="26"/>
      <c r="O111" s="13">
        <v>700</v>
      </c>
      <c r="P111" s="27">
        <f>IF(M111="",0,IF(O111&gt;0,0,IF(N111="A",M111,IF(N111="M",M111*12,IF(N111="W",M111*Lookups!B$9,IF(N111="B",M111*+Lookups!B$10,IF(N111="S",M111*2,IF(AND(M111=0,O111&gt;0),O111,"ERROR"))))))))</f>
        <v>0</v>
      </c>
      <c r="Q111" s="149" t="str">
        <f>IF(OR(AND(P111=0,H111=0),O111&gt;0),"",IF(AND(I111="W",N111="W"),ROUND(P111-(H111*Lookups!$B$9),0),ROUND(+P111-L111,0)))</f>
        <v/>
      </c>
      <c r="R111" s="91" t="str">
        <f t="shared" si="23"/>
        <v>E</v>
      </c>
      <c r="S111" s="24">
        <v>120</v>
      </c>
      <c r="T111" s="179">
        <f t="shared" si="20"/>
        <v>700</v>
      </c>
      <c r="U111" s="175" t="str">
        <f t="shared" si="21"/>
        <v/>
      </c>
      <c r="V111" s="175" t="str">
        <f t="shared" si="19"/>
        <v/>
      </c>
      <c r="W111" s="13" t="str">
        <f t="shared" si="22"/>
        <v/>
      </c>
      <c r="X111" s="13"/>
      <c r="Y111" s="140"/>
    </row>
    <row r="112" spans="1:30" x14ac:dyDescent="0.35">
      <c r="B112" s="173" t="s">
        <v>142</v>
      </c>
      <c r="C112" s="4" t="s">
        <v>143</v>
      </c>
      <c r="D112" s="24">
        <v>920</v>
      </c>
      <c r="E112" s="22">
        <v>900</v>
      </c>
      <c r="F112" s="13">
        <v>675</v>
      </c>
      <c r="G112" s="27">
        <f t="shared" si="31"/>
        <v>900</v>
      </c>
      <c r="H112" s="22">
        <v>75</v>
      </c>
      <c r="I112" s="26" t="s">
        <v>44</v>
      </c>
      <c r="J112" s="13">
        <v>985</v>
      </c>
      <c r="K112" s="13"/>
      <c r="L112" s="27">
        <f>IF(I112="",0,IF(K112&gt;0,0,IF(I112="A",H112,IF(I112="M",H112*12,IF(I112="W",H112*(Lookups!$B$9+1),IF(I112="B",H112*(+Lookups!$B$10),IF(I112="S",H112*2,IF(AND(H112=0,K112&gt;0),K112,"ERROR"))))))))</f>
        <v>900</v>
      </c>
      <c r="M112" s="22">
        <v>80</v>
      </c>
      <c r="N112" s="26" t="s">
        <v>44</v>
      </c>
      <c r="O112" s="13"/>
      <c r="P112" s="27">
        <f>IF(M112="",0,IF(O112&gt;0,0,IF(N112="A",M112,IF(N112="M",M112*12,IF(N112="W",M112*Lookups!B$9,IF(N112="B",M112*+Lookups!B$10,IF(N112="S",M112*2,IF(AND(M112=0,O112&gt;0),O112,"ERROR"))))))))</f>
        <v>960</v>
      </c>
      <c r="Q112" s="149">
        <f>IF(OR(AND(P112=0,H112=0),O112&gt;0),"",IF(AND(I112="W",N112="W"),ROUND(P112-(H112*Lookups!$B$9),0),ROUND(+P112-L112,0)))</f>
        <v>60</v>
      </c>
      <c r="R112" s="91" t="str">
        <f t="shared" si="23"/>
        <v>I</v>
      </c>
      <c r="S112" s="24">
        <v>160</v>
      </c>
      <c r="T112" s="179">
        <f t="shared" si="20"/>
        <v>0</v>
      </c>
      <c r="U112" s="175" t="str">
        <f t="shared" si="21"/>
        <v/>
      </c>
      <c r="V112" s="175" t="str">
        <f t="shared" si="19"/>
        <v/>
      </c>
      <c r="W112" s="13" t="str">
        <f t="shared" si="22"/>
        <v/>
      </c>
      <c r="X112" s="13"/>
      <c r="Y112" s="140"/>
    </row>
    <row r="113" spans="1:31" x14ac:dyDescent="0.35">
      <c r="A113" s="157" t="s">
        <v>650</v>
      </c>
      <c r="B113" s="173" t="s">
        <v>287</v>
      </c>
      <c r="C113" s="4" t="s">
        <v>288</v>
      </c>
      <c r="D113" s="24">
        <v>100</v>
      </c>
      <c r="E113" s="22"/>
      <c r="F113" s="13"/>
      <c r="G113" s="27">
        <f t="shared" si="31"/>
        <v>0</v>
      </c>
      <c r="H113" s="22"/>
      <c r="I113" s="26"/>
      <c r="J113" s="13"/>
      <c r="K113" s="13"/>
      <c r="L113" s="27">
        <f>IF(I113="",0,IF(K113&gt;0,0,IF(I113="A",H113,IF(I113="M",H113*12,IF(I113="W",H113*(Lookups!$B$9+1),IF(I113="B",H113*(+Lookups!$B$10),IF(I113="S",H113*2,IF(AND(H113=0,K113&gt;0),K113,"ERROR"))))))))</f>
        <v>0</v>
      </c>
      <c r="M113" s="22"/>
      <c r="N113" s="26"/>
      <c r="O113" s="13"/>
      <c r="P113" s="27">
        <f>IF(M113="",0,IF(O113&gt;0,0,IF(N113="A",M113,IF(N113="M",M113*12,IF(N113="W",M113*Lookups!B$9,IF(N113="B",M113*+Lookups!B$10,IF(N113="S",M113*2,IF(AND(M113=0,O113&gt;0),O113,"ERROR"))))))))</f>
        <v>0</v>
      </c>
      <c r="Q113" s="149" t="str">
        <f>IF(OR(AND(P113=0,H113=0),O113&gt;0),"",IF(AND(I113="W",N113="W"),ROUND(P113-(H113*Lookups!$B$9),0),ROUND(+P113-L113,0)))</f>
        <v/>
      </c>
      <c r="R113" s="91" t="str">
        <f t="shared" si="23"/>
        <v/>
      </c>
      <c r="S113" s="24"/>
      <c r="T113" s="179" t="str">
        <f t="shared" si="20"/>
        <v/>
      </c>
      <c r="U113" s="175" t="str">
        <f t="shared" si="21"/>
        <v/>
      </c>
      <c r="V113" s="175" t="str">
        <f t="shared" si="19"/>
        <v/>
      </c>
      <c r="W113" s="13" t="str">
        <f t="shared" si="22"/>
        <v/>
      </c>
      <c r="X113" s="13"/>
      <c r="Y113" s="140"/>
    </row>
    <row r="114" spans="1:31" x14ac:dyDescent="0.35">
      <c r="B114" s="173" t="s">
        <v>144</v>
      </c>
      <c r="C114" s="4" t="s">
        <v>145</v>
      </c>
      <c r="D114" s="24">
        <v>290</v>
      </c>
      <c r="E114" s="22">
        <v>840</v>
      </c>
      <c r="F114" s="13">
        <v>735</v>
      </c>
      <c r="G114" s="27">
        <f t="shared" si="31"/>
        <v>840</v>
      </c>
      <c r="H114" s="22"/>
      <c r="I114" s="26"/>
      <c r="J114" s="13">
        <v>1090</v>
      </c>
      <c r="K114" s="13">
        <v>800</v>
      </c>
      <c r="L114" s="27">
        <f>IF(I114="",0,IF(K114&gt;0,0,IF(I114="A",H114,IF(I114="M",H114*12,IF(I114="W",H114*(Lookups!$B$9+1),IF(I114="B",H114*(+Lookups!$B$10),IF(I114="S",H114*2,IF(AND(H114=0,K114&gt;0),K114,"ERROR"))))))))</f>
        <v>0</v>
      </c>
      <c r="M114" s="22">
        <v>160</v>
      </c>
      <c r="N114" s="26" t="s">
        <v>44</v>
      </c>
      <c r="O114" s="13"/>
      <c r="P114" s="27">
        <f>IF(M114="",0,IF(O114&gt;0,0,IF(N114="A",M114,IF(N114="M",M114*12,IF(N114="W",M114*Lookups!B$9,IF(N114="B",M114*+Lookups!B$10,IF(N114="S",M114*2,IF(AND(M114=0,O114&gt;0),O114,"ERROR"))))))))</f>
        <v>1920</v>
      </c>
      <c r="Q114" s="149">
        <f>IF(OR(AND(P114=0,H114=0),O114&gt;0),"",IF(AND(I114="W",N114="W"),ROUND(P114-(H114*Lookups!$B$9),0),ROUND(+P114-L114,0)))</f>
        <v>1920</v>
      </c>
      <c r="R114" s="91" t="str">
        <f t="shared" si="23"/>
        <v>N</v>
      </c>
      <c r="S114" s="24">
        <v>390</v>
      </c>
      <c r="T114" s="179">
        <f t="shared" si="20"/>
        <v>0</v>
      </c>
      <c r="U114" s="175" t="str">
        <f t="shared" si="21"/>
        <v/>
      </c>
      <c r="V114" s="175" t="str">
        <f t="shared" si="19"/>
        <v/>
      </c>
      <c r="W114" s="13" t="str">
        <f t="shared" si="22"/>
        <v/>
      </c>
      <c r="X114" s="13"/>
      <c r="Y114" s="140"/>
      <c r="Z114" s="67" t="s">
        <v>575</v>
      </c>
      <c r="AA114" s="68" t="s">
        <v>576</v>
      </c>
      <c r="AB114" s="68" t="s">
        <v>426</v>
      </c>
      <c r="AC114" s="69" t="s">
        <v>403</v>
      </c>
      <c r="AD114" s="70">
        <v>53406</v>
      </c>
    </row>
    <row r="115" spans="1:31" x14ac:dyDescent="0.35">
      <c r="B115" s="173" t="s">
        <v>146</v>
      </c>
      <c r="C115" s="4" t="s">
        <v>147</v>
      </c>
      <c r="D115" s="24">
        <v>1400</v>
      </c>
      <c r="E115" s="22">
        <v>1400</v>
      </c>
      <c r="F115" s="13">
        <v>1400</v>
      </c>
      <c r="G115" s="27">
        <f t="shared" si="31"/>
        <v>1400</v>
      </c>
      <c r="H115" s="22">
        <v>1500</v>
      </c>
      <c r="I115" s="26" t="s">
        <v>40</v>
      </c>
      <c r="J115" s="13">
        <v>1600</v>
      </c>
      <c r="K115" s="13"/>
      <c r="L115" s="27">
        <f>IF(I115="",0,IF(K115&gt;0,0,IF(I115="A",H115,IF(I115="M",H115*12,IF(I115="W",H115*(Lookups!$B$9+1),IF(I115="B",H115*(+Lookups!$B$10),IF(I115="S",H115*2,IF(AND(H115=0,K115&gt;0),K115,"ERROR"))))))))</f>
        <v>1500</v>
      </c>
      <c r="M115" s="22"/>
      <c r="N115" s="26"/>
      <c r="O115" s="13">
        <v>1600</v>
      </c>
      <c r="P115" s="27">
        <f>IF(M115="",0,IF(O115&gt;0,0,IF(N115="A",M115,IF(N115="M",M115*12,IF(N115="W",M115*Lookups!B$9,IF(N115="B",M115*+Lookups!B$10,IF(N115="S",M115*2,IF(AND(M115=0,O115&gt;0),O115,"ERROR"))))))))</f>
        <v>0</v>
      </c>
      <c r="Q115" s="149" t="str">
        <f>IF(OR(AND(P115=0,H115=0),O115&gt;0),"",IF(AND(I115="W",N115="W"),ROUND(P115-(H115*Lookups!$B$9),0),ROUND(+P115-L115,0)))</f>
        <v/>
      </c>
      <c r="R115" s="91" t="str">
        <f t="shared" si="23"/>
        <v>E</v>
      </c>
      <c r="S115" s="24"/>
      <c r="T115" s="179" t="str">
        <f t="shared" si="20"/>
        <v/>
      </c>
      <c r="U115" s="175">
        <f t="shared" si="21"/>
        <v>1600</v>
      </c>
      <c r="V115" s="175" t="str">
        <f t="shared" si="19"/>
        <v/>
      </c>
      <c r="W115" s="13" t="str">
        <f t="shared" si="22"/>
        <v/>
      </c>
      <c r="X115" s="13"/>
      <c r="Y115" s="140"/>
    </row>
    <row r="116" spans="1:31" x14ac:dyDescent="0.35">
      <c r="B116" s="28" t="s">
        <v>148</v>
      </c>
      <c r="C116" s="4" t="s">
        <v>637</v>
      </c>
      <c r="D116" s="24"/>
      <c r="E116" s="22"/>
      <c r="F116" s="13"/>
      <c r="G116" s="27">
        <f t="shared" si="31"/>
        <v>0</v>
      </c>
      <c r="H116" s="22"/>
      <c r="I116" s="26"/>
      <c r="J116" s="13">
        <v>3000</v>
      </c>
      <c r="K116" s="13"/>
      <c r="L116" s="27">
        <f>IF(I116="",0,IF(K116&gt;0,0,IF(I116="A",H116,IF(I116="M",H116*12,IF(I116="W",H116*(Lookups!$B$9+1),IF(I116="B",H116*(+Lookups!$B$10),IF(I116="S",H116*2,IF(AND(H116=0,K116&gt;0),K116,"ERROR"))))))))</f>
        <v>0</v>
      </c>
      <c r="M116" s="22"/>
      <c r="N116" s="26"/>
      <c r="O116" s="13">
        <v>3000</v>
      </c>
      <c r="P116" s="27">
        <f>IF(M116="",0,IF(O116&gt;0,0,IF(N116="A",M116,IF(N116="M",M116*12,IF(N116="W",M116*Lookups!B$9,IF(N116="B",M116*+Lookups!B$10,IF(N116="S",M116*2,IF(AND(M116=0,O116&gt;0),O116,"ERROR"))))))))</f>
        <v>0</v>
      </c>
      <c r="Q116" s="149" t="str">
        <f>IF(OR(AND(P116=0,H116=0),O116&gt;0),"",IF(AND(I116="W",N116="W"),ROUND(P116-(H116*Lookups!$B$9),0),ROUND(+P116-L116,0)))</f>
        <v/>
      </c>
      <c r="R116" s="91" t="str">
        <f t="shared" si="23"/>
        <v>E</v>
      </c>
      <c r="S116" s="24">
        <v>500</v>
      </c>
      <c r="T116" s="179">
        <f t="shared" si="20"/>
        <v>3000</v>
      </c>
      <c r="U116" s="175" t="str">
        <f t="shared" si="21"/>
        <v/>
      </c>
      <c r="V116" s="175" t="str">
        <f t="shared" si="19"/>
        <v/>
      </c>
      <c r="W116" s="13" t="str">
        <f t="shared" si="22"/>
        <v/>
      </c>
      <c r="X116" s="13"/>
      <c r="Y116" s="140"/>
    </row>
    <row r="117" spans="1:31" x14ac:dyDescent="0.35">
      <c r="B117" s="28" t="s">
        <v>148</v>
      </c>
      <c r="C117" s="4" t="s">
        <v>149</v>
      </c>
      <c r="D117" s="24">
        <v>2650</v>
      </c>
      <c r="E117" s="22">
        <v>2860</v>
      </c>
      <c r="F117" s="13">
        <v>2090</v>
      </c>
      <c r="G117" s="27">
        <f t="shared" si="31"/>
        <v>2860</v>
      </c>
      <c r="H117" s="22">
        <v>60</v>
      </c>
      <c r="I117" s="26" t="s">
        <v>43</v>
      </c>
      <c r="J117" s="13">
        <v>3120</v>
      </c>
      <c r="K117" s="13"/>
      <c r="L117" s="27">
        <f>IF(I117="",0,IF(K117&gt;0,0,IF(I117="A",H117,IF(I117="M",H117*12,IF(I117="W",H117*(Lookups!$B$9+1),IF(I117="B",H117*(+Lookups!$B$10),IF(I117="S",H117*2,IF(AND(H117=0,K117&gt;0),K117,"ERROR"))))))))</f>
        <v>3180</v>
      </c>
      <c r="M117" s="22">
        <v>60</v>
      </c>
      <c r="N117" s="26" t="s">
        <v>43</v>
      </c>
      <c r="O117" s="13"/>
      <c r="P117" s="27">
        <f>IF(M117="",0,IF(O117&gt;0,0,IF(N117="A",M117,IF(N117="M",M117*12,IF(N117="W",M117*Lookups!B$9,IF(N117="B",M117*+Lookups!B$10,IF(N117="S",M117*2,IF(AND(M117=0,O117&gt;0),O117,"ERROR"))))))))</f>
        <v>3120</v>
      </c>
      <c r="Q117" s="149">
        <f>IF(OR(AND(P117=0,H117=0),O117&gt;0),"",IF(AND(I117="W",N117="W"),ROUND(P117-(H117*Lookups!$B$9),0),ROUND(+P117-L117,0)))</f>
        <v>0</v>
      </c>
      <c r="R117" s="91" t="str">
        <f t="shared" si="23"/>
        <v>S</v>
      </c>
      <c r="S117" s="24">
        <v>480</v>
      </c>
      <c r="T117" s="179">
        <f t="shared" si="20"/>
        <v>0</v>
      </c>
      <c r="U117" s="175" t="str">
        <f t="shared" si="21"/>
        <v/>
      </c>
      <c r="V117" s="175" t="str">
        <f t="shared" si="19"/>
        <v/>
      </c>
      <c r="W117" s="13" t="str">
        <f t="shared" si="22"/>
        <v/>
      </c>
      <c r="X117" s="13"/>
      <c r="Y117" s="140"/>
      <c r="AA117" s="68" t="s">
        <v>466</v>
      </c>
      <c r="AB117" s="68" t="s">
        <v>426</v>
      </c>
      <c r="AC117" s="69" t="s">
        <v>403</v>
      </c>
      <c r="AD117" s="70">
        <v>53405</v>
      </c>
    </row>
    <row r="118" spans="1:31" ht="58" x14ac:dyDescent="0.35">
      <c r="B118" s="28" t="s">
        <v>150</v>
      </c>
      <c r="C118" s="4" t="s">
        <v>110</v>
      </c>
      <c r="D118" s="24">
        <v>4260</v>
      </c>
      <c r="E118" s="22">
        <v>4380</v>
      </c>
      <c r="F118" s="13">
        <v>3285</v>
      </c>
      <c r="G118" s="27">
        <f t="shared" si="31"/>
        <v>4380</v>
      </c>
      <c r="H118" s="22">
        <v>300</v>
      </c>
      <c r="I118" s="26" t="s">
        <v>44</v>
      </c>
      <c r="J118" s="13">
        <v>4120</v>
      </c>
      <c r="K118" s="13"/>
      <c r="L118" s="27">
        <f>IF(I118="",0,IF(K118&gt;0,0,IF(I118="A",H118,IF(I118="M",H118*12,IF(I118="W",H118*(Lookups!$B$9+1),IF(I118="B",H118*(+Lookups!$B$10),IF(I118="S",H118*2,IF(AND(H118=0,K118&gt;0),K118,"ERROR"))))))))</f>
        <v>3600</v>
      </c>
      <c r="M118" s="22">
        <v>2060</v>
      </c>
      <c r="N118" s="26" t="s">
        <v>40</v>
      </c>
      <c r="O118" s="13"/>
      <c r="P118" s="27">
        <f>IF(M118="",0,IF(O118&gt;0,0,IF(N118="A",M118,IF(N118="M",M118*12,IF(N118="W",M118*Lookups!B$9,IF(N118="B",M118*+Lookups!B$10,IF(N118="S",M118*2,IF(AND(M118=0,O118&gt;0),O118,"ERROR"))))))))</f>
        <v>2060</v>
      </c>
      <c r="Q118" s="149">
        <f>IF(OR(AND(P118=0,H118=0),O118&gt;0),"",IF(AND(I118="W",N118="W"),ROUND(P118-(H118*Lookups!$B$9),0),ROUND(+P118-L118,0)))</f>
        <v>-1540</v>
      </c>
      <c r="R118" s="91" t="str">
        <f t="shared" si="23"/>
        <v>D</v>
      </c>
      <c r="S118" s="24">
        <v>2060</v>
      </c>
      <c r="T118" s="179">
        <f t="shared" si="20"/>
        <v>0</v>
      </c>
      <c r="U118" s="175" t="str">
        <f t="shared" si="21"/>
        <v/>
      </c>
      <c r="V118" s="175" t="str">
        <f t="shared" si="19"/>
        <v/>
      </c>
      <c r="W118" s="13" t="str">
        <f t="shared" si="22"/>
        <v/>
      </c>
      <c r="X118" s="13"/>
      <c r="Y118" s="153" t="s">
        <v>579</v>
      </c>
      <c r="Z118" s="67" t="s">
        <v>577</v>
      </c>
      <c r="AA118" s="68" t="s">
        <v>578</v>
      </c>
      <c r="AB118" s="68" t="s">
        <v>426</v>
      </c>
      <c r="AC118" s="69" t="s">
        <v>403</v>
      </c>
      <c r="AD118" s="70">
        <v>53406</v>
      </c>
    </row>
    <row r="119" spans="1:31" x14ac:dyDescent="0.35">
      <c r="A119" s="157" t="s">
        <v>650</v>
      </c>
      <c r="B119" s="28" t="s">
        <v>289</v>
      </c>
      <c r="C119" s="4" t="s">
        <v>290</v>
      </c>
      <c r="D119" s="24">
        <v>350</v>
      </c>
      <c r="E119" s="22"/>
      <c r="F119" s="13">
        <v>70</v>
      </c>
      <c r="G119" s="27">
        <f t="shared" si="31"/>
        <v>70</v>
      </c>
      <c r="H119" s="22"/>
      <c r="I119" s="26"/>
      <c r="J119" s="13">
        <v>315</v>
      </c>
      <c r="K119" s="13"/>
      <c r="L119" s="27">
        <f>IF(I119="",0,IF(K119&gt;0,0,IF(I119="A",H119,IF(I119="M",H119*12,IF(I119="W",H119*(Lookups!$B$9+1),IF(I119="B",H119*(+Lookups!$B$10),IF(I119="S",H119*2,IF(AND(H119=0,K119&gt;0),K119,"ERROR"))))))))</f>
        <v>0</v>
      </c>
      <c r="M119" s="22"/>
      <c r="N119" s="26"/>
      <c r="O119" s="13"/>
      <c r="P119" s="27">
        <f>IF(M119="",0,IF(O119&gt;0,0,IF(N119="A",M119,IF(N119="M",M119*12,IF(N119="W",M119*Lookups!B$9,IF(N119="B",M119*+Lookups!B$10,IF(N119="S",M119*2,IF(AND(M119=0,O119&gt;0),O119,"ERROR"))))))))</f>
        <v>0</v>
      </c>
      <c r="Q119" s="149" t="str">
        <f>IF(OR(AND(P119=0,H119=0),O119&gt;0),"",IF(AND(I119="W",N119="W"),ROUND(P119-(H119*Lookups!$B$9),0),ROUND(+P119-L119,0)))</f>
        <v/>
      </c>
      <c r="R119" s="91" t="str">
        <f t="shared" si="23"/>
        <v/>
      </c>
      <c r="S119" s="24">
        <v>20</v>
      </c>
      <c r="T119" s="179">
        <f t="shared" si="20"/>
        <v>0</v>
      </c>
      <c r="U119" s="175" t="str">
        <f t="shared" si="21"/>
        <v/>
      </c>
      <c r="V119" s="175" t="str">
        <f t="shared" si="19"/>
        <v/>
      </c>
      <c r="W119" s="13" t="str">
        <f t="shared" si="22"/>
        <v/>
      </c>
      <c r="X119" s="13"/>
      <c r="Y119" s="140"/>
    </row>
    <row r="120" spans="1:31" x14ac:dyDescent="0.35">
      <c r="B120" s="28" t="s">
        <v>151</v>
      </c>
      <c r="C120" s="4" t="s">
        <v>152</v>
      </c>
      <c r="D120" s="24">
        <v>700</v>
      </c>
      <c r="E120" s="22">
        <v>600</v>
      </c>
      <c r="F120" s="13">
        <v>400</v>
      </c>
      <c r="G120" s="27">
        <f t="shared" si="31"/>
        <v>400</v>
      </c>
      <c r="H120" s="22">
        <v>50</v>
      </c>
      <c r="I120" s="26" t="s">
        <v>44</v>
      </c>
      <c r="J120" s="13">
        <v>600</v>
      </c>
      <c r="K120" s="13"/>
      <c r="L120" s="27">
        <f>IF(I120="",0,IF(K120&gt;0,0,IF(I120="A",H120,IF(I120="M",H120*12,IF(I120="W",H120*(Lookups!$B$9+1),IF(I120="B",H120*(+Lookups!$B$10),IF(I120="S",H120*2,IF(AND(H120=0,K120&gt;0),K120,"ERROR"))))))))</f>
        <v>600</v>
      </c>
      <c r="M120" s="22">
        <v>50</v>
      </c>
      <c r="N120" s="26" t="s">
        <v>44</v>
      </c>
      <c r="O120" s="13"/>
      <c r="P120" s="172">
        <f>IF(M120="",0,IF(O120&gt;0,0,IF(N120="A",M120,IF(N120="M",M120*12,IF(N120="W",M120*Lookups!B$9,IF(N120="B",M120*+Lookups!B$10,IF(N120="S",M120*2,IF(AND(M120=0,O120&gt;0),O120,"ERROR"))))))))</f>
        <v>600</v>
      </c>
      <c r="Q120" s="149">
        <f>IF(OR(AND(P120=0,H120=0),O120&gt;0),"",IF(AND(I120="W",N120="W"),ROUND(P120-(H120*Lookups!$B$9),0),ROUND(+P120-L120,0)))</f>
        <v>0</v>
      </c>
      <c r="R120" s="91" t="str">
        <f t="shared" si="23"/>
        <v>S</v>
      </c>
      <c r="S120" s="24"/>
      <c r="T120" s="179" t="str">
        <f t="shared" si="20"/>
        <v/>
      </c>
      <c r="U120" s="175">
        <f t="shared" si="21"/>
        <v>0</v>
      </c>
      <c r="V120" s="175" t="str">
        <f t="shared" si="19"/>
        <v/>
      </c>
      <c r="W120" s="13" t="str">
        <f t="shared" si="22"/>
        <v/>
      </c>
      <c r="X120" s="13"/>
      <c r="Y120" s="140"/>
      <c r="AA120" s="68" t="s">
        <v>580</v>
      </c>
      <c r="AB120" s="68" t="s">
        <v>426</v>
      </c>
      <c r="AC120" s="69" t="s">
        <v>403</v>
      </c>
      <c r="AD120" s="70" t="s">
        <v>581</v>
      </c>
    </row>
    <row r="121" spans="1:31" x14ac:dyDescent="0.35">
      <c r="B121" s="28" t="s">
        <v>153</v>
      </c>
      <c r="C121" s="4" t="s">
        <v>154</v>
      </c>
      <c r="D121" s="24">
        <v>1390</v>
      </c>
      <c r="E121" s="22">
        <v>1300</v>
      </c>
      <c r="F121" s="13">
        <v>1045</v>
      </c>
      <c r="G121" s="27">
        <f t="shared" si="31"/>
        <v>1300</v>
      </c>
      <c r="H121" s="22">
        <v>25</v>
      </c>
      <c r="I121" s="26" t="s">
        <v>43</v>
      </c>
      <c r="J121" s="13">
        <v>1397.5</v>
      </c>
      <c r="K121" s="13"/>
      <c r="L121" s="27">
        <f>IF(I121="",0,IF(K121&gt;0,0,IF(I121="A",H121,IF(I121="M",H121*12,IF(I121="W",H121*(Lookups!$B$9+1),IF(I121="B",H121*(+Lookups!$B$10),IF(I121="S",H121*2,IF(AND(H121=0,K121&gt;0),K121,"ERROR"))))))))</f>
        <v>1325</v>
      </c>
      <c r="M121" s="22">
        <v>25</v>
      </c>
      <c r="N121" s="26" t="s">
        <v>43</v>
      </c>
      <c r="O121" s="13"/>
      <c r="P121" s="27">
        <f>IF(M121="",0,IF(O121&gt;0,0,IF(N121="A",M121,IF(N121="M",M121*12,IF(N121="W",M121*Lookups!B$9,IF(N121="B",M121*+Lookups!B$10,IF(N121="S",M121*2,IF(AND(M121=0,O121&gt;0),O121,"ERROR"))))))))</f>
        <v>1300</v>
      </c>
      <c r="Q121" s="149">
        <f>IF(OR(AND(P121=0,H121=0),O121&gt;0),"",IF(AND(I121="W",N121="W"),ROUND(P121-(H121*Lookups!$B$9),0),ROUND(+P121-L121,0)))</f>
        <v>0</v>
      </c>
      <c r="R121" s="91" t="str">
        <f t="shared" si="23"/>
        <v>S</v>
      </c>
      <c r="S121" s="24">
        <v>220</v>
      </c>
      <c r="T121" s="179">
        <f t="shared" si="20"/>
        <v>0</v>
      </c>
      <c r="U121" s="175" t="str">
        <f t="shared" si="21"/>
        <v/>
      </c>
      <c r="V121" s="175" t="str">
        <f t="shared" si="19"/>
        <v/>
      </c>
      <c r="W121" s="13" t="str">
        <f t="shared" si="22"/>
        <v/>
      </c>
      <c r="X121" s="13"/>
      <c r="Y121" s="140"/>
      <c r="Z121" s="67" t="s">
        <v>582</v>
      </c>
      <c r="AA121" s="68" t="s">
        <v>583</v>
      </c>
      <c r="AB121" s="68" t="s">
        <v>426</v>
      </c>
      <c r="AC121" s="69" t="s">
        <v>403</v>
      </c>
      <c r="AD121" s="70">
        <v>53402</v>
      </c>
    </row>
    <row r="122" spans="1:31" x14ac:dyDescent="0.35">
      <c r="A122" s="157" t="s">
        <v>650</v>
      </c>
      <c r="B122" s="28" t="s">
        <v>375</v>
      </c>
      <c r="C122" s="4" t="s">
        <v>376</v>
      </c>
      <c r="D122" s="24"/>
      <c r="E122" s="22"/>
      <c r="F122" s="13">
        <v>40</v>
      </c>
      <c r="G122" s="27">
        <f t="shared" si="31"/>
        <v>40</v>
      </c>
      <c r="H122" s="22"/>
      <c r="I122" s="26"/>
      <c r="J122" s="13">
        <v>20</v>
      </c>
      <c r="K122" s="13"/>
      <c r="L122" s="27">
        <f>IF(I122="",0,IF(K122&gt;0,0,IF(I122="A",H122,IF(I122="M",H122*12,IF(I122="W",H122*(Lookups!$B$9+1),IF(I122="B",H122*(+Lookups!$B$10),IF(I122="S",H122*2,IF(AND(H122=0,K122&gt;0),K122,"ERROR"))))))))</f>
        <v>0</v>
      </c>
      <c r="M122" s="22"/>
      <c r="N122" s="26"/>
      <c r="O122" s="13"/>
      <c r="P122" s="27">
        <f>IF(M122="",0,IF(O122&gt;0,0,IF(N122="A",M122,IF(N122="M",M122*12,IF(N122="W",M122*Lookups!B$9,IF(N122="B",M122*+Lookups!B$10,IF(N122="S",M122*2,IF(AND(M122=0,O122&gt;0),O122,"ERROR"))))))))</f>
        <v>0</v>
      </c>
      <c r="Q122" s="149" t="str">
        <f>IF(OR(AND(P122=0,H122=0),O122&gt;0),"",IF(AND(I122="W",N122="W"),ROUND(P122-(H122*Lookups!$B$9),0),ROUND(+P122-L122,0)))</f>
        <v/>
      </c>
      <c r="R122" s="91" t="str">
        <f t="shared" si="23"/>
        <v/>
      </c>
      <c r="S122" s="24">
        <v>20</v>
      </c>
      <c r="T122" s="179">
        <f t="shared" si="20"/>
        <v>0</v>
      </c>
      <c r="U122" s="175" t="str">
        <f t="shared" si="21"/>
        <v/>
      </c>
      <c r="V122" s="175">
        <f t="shared" si="19"/>
        <v>120</v>
      </c>
      <c r="W122" s="13" t="str">
        <f t="shared" si="22"/>
        <v/>
      </c>
      <c r="X122" s="13"/>
      <c r="Y122" s="140"/>
    </row>
    <row r="123" spans="1:31" x14ac:dyDescent="0.35">
      <c r="B123" s="28" t="s">
        <v>155</v>
      </c>
      <c r="C123" s="4" t="s">
        <v>291</v>
      </c>
      <c r="D123" s="24">
        <v>960</v>
      </c>
      <c r="E123" s="22"/>
      <c r="F123" s="13">
        <v>955</v>
      </c>
      <c r="G123" s="27">
        <f t="shared" si="31"/>
        <v>955</v>
      </c>
      <c r="H123" s="22"/>
      <c r="I123" s="26"/>
      <c r="J123" s="13">
        <v>1250</v>
      </c>
      <c r="K123" s="13">
        <v>900</v>
      </c>
      <c r="L123" s="27">
        <f>IF(I123="",0,IF(K123&gt;0,0,IF(I123="A",H123,IF(I123="M",H123*12,IF(I123="W",H123*(Lookups!$B$9+1),IF(I123="B",H123*(+Lookups!$B$10),IF(I123="S",H123*2,IF(AND(H123=0,K123&gt;0),K123,"ERROR"))))))))</f>
        <v>0</v>
      </c>
      <c r="M123" s="22"/>
      <c r="N123" s="26"/>
      <c r="O123" s="13">
        <v>1000</v>
      </c>
      <c r="P123" s="27">
        <f>IF(M123="",0,IF(O123&gt;0,0,IF(N123="A",M123,IF(N123="M",M123*12,IF(N123="W",M123*Lookups!B$9,IF(N123="B",M123*+Lookups!B$10,IF(N123="S",M123*2,IF(AND(M123=0,O123&gt;0),O123,"ERROR"))))))))</f>
        <v>0</v>
      </c>
      <c r="Q123" s="149" t="str">
        <f>IF(OR(AND(P123=0,H123=0),O123&gt;0),"",IF(AND(I123="W",N123="W"),ROUND(P123-(H123*Lookups!$B$9),0),ROUND(+P123-L123,0)))</f>
        <v/>
      </c>
      <c r="R123" s="91" t="str">
        <f t="shared" si="23"/>
        <v>E</v>
      </c>
      <c r="S123" s="24">
        <v>25</v>
      </c>
      <c r="T123" s="179">
        <f t="shared" si="20"/>
        <v>1000</v>
      </c>
      <c r="U123" s="175" t="str">
        <f t="shared" si="21"/>
        <v/>
      </c>
      <c r="V123" s="175" t="str">
        <f t="shared" si="19"/>
        <v/>
      </c>
      <c r="W123" s="13" t="str">
        <f t="shared" si="22"/>
        <v/>
      </c>
      <c r="X123" s="13"/>
      <c r="Y123" s="140"/>
    </row>
    <row r="124" spans="1:31" x14ac:dyDescent="0.35">
      <c r="B124" s="166" t="s">
        <v>155</v>
      </c>
      <c r="C124" s="4" t="s">
        <v>156</v>
      </c>
      <c r="D124" s="24">
        <v>7420</v>
      </c>
      <c r="E124" s="22">
        <v>7800</v>
      </c>
      <c r="F124" s="13">
        <v>5850</v>
      </c>
      <c r="G124" s="27">
        <f t="shared" si="31"/>
        <v>7800</v>
      </c>
      <c r="H124" s="22">
        <v>150</v>
      </c>
      <c r="I124" s="26" t="s">
        <v>43</v>
      </c>
      <c r="J124" s="13">
        <v>7800</v>
      </c>
      <c r="K124" s="13"/>
      <c r="L124" s="27">
        <f>IF(I124="",0,IF(K124&gt;0,0,IF(I124="A",H124,IF(I124="M",H124*12,IF(I124="W",H124*(Lookups!$B$9+1),IF(I124="B",H124*(+Lookups!$B$10),IF(I124="S",H124*2,IF(AND(H124=0,K124&gt;0),K124,"ERROR"))))))))</f>
        <v>7950</v>
      </c>
      <c r="M124" s="22">
        <v>150</v>
      </c>
      <c r="N124" s="26" t="s">
        <v>43</v>
      </c>
      <c r="O124" s="13"/>
      <c r="P124" s="27">
        <f>IF(M124="",0,IF(O124&gt;0,0,IF(N124="A",M124,IF(N124="M",M124*12,IF(N124="W",M124*Lookups!B$9,IF(N124="B",M124*+Lookups!B$10,IF(N124="S",M124*2,IF(AND(M124=0,O124&gt;0),O124,"ERROR"))))))))</f>
        <v>7800</v>
      </c>
      <c r="Q124" s="149">
        <f>IF(OR(AND(P124=0,H124=0),O124&gt;0),"",IF(AND(I124="W",N124="W"),ROUND(P124-(H124*Lookups!$B$9),0),ROUND(+P124-L124,0)))</f>
        <v>0</v>
      </c>
      <c r="R124" s="91" t="str">
        <f t="shared" si="23"/>
        <v>S</v>
      </c>
      <c r="S124" s="24">
        <v>1200</v>
      </c>
      <c r="T124" s="179">
        <f t="shared" si="20"/>
        <v>0</v>
      </c>
      <c r="U124" s="175" t="str">
        <f t="shared" si="21"/>
        <v/>
      </c>
      <c r="V124" s="175" t="str">
        <f t="shared" si="19"/>
        <v/>
      </c>
      <c r="W124" s="13">
        <f t="shared" si="22"/>
        <v>7800</v>
      </c>
      <c r="X124" s="13">
        <v>75</v>
      </c>
      <c r="Y124" s="140"/>
      <c r="Z124" s="67" t="s">
        <v>467</v>
      </c>
      <c r="AA124" s="68" t="s">
        <v>468</v>
      </c>
      <c r="AB124" s="68" t="s">
        <v>469</v>
      </c>
      <c r="AC124" s="69" t="s">
        <v>403</v>
      </c>
      <c r="AD124" s="70">
        <v>53154</v>
      </c>
      <c r="AE124" s="68" t="s">
        <v>507</v>
      </c>
    </row>
    <row r="125" spans="1:31" x14ac:dyDescent="0.35">
      <c r="A125" s="157" t="s">
        <v>650</v>
      </c>
      <c r="B125" s="28" t="s">
        <v>292</v>
      </c>
      <c r="C125" s="4" t="s">
        <v>293</v>
      </c>
      <c r="D125" s="24">
        <v>600</v>
      </c>
      <c r="E125" s="22"/>
      <c r="F125" s="13">
        <v>400</v>
      </c>
      <c r="G125" s="27">
        <f t="shared" si="31"/>
        <v>400</v>
      </c>
      <c r="H125" s="22"/>
      <c r="I125" s="26"/>
      <c r="J125" s="13"/>
      <c r="K125" s="13">
        <v>400</v>
      </c>
      <c r="L125" s="27">
        <f>IF(I125="",0,IF(K125&gt;0,0,IF(I125="A",H125,IF(I125="M",H125*12,IF(I125="W",H125*(Lookups!$B$9+1),IF(I125="B",H125*(+Lookups!$B$10),IF(I125="S",H125*2,IF(AND(H125=0,K125&gt;0),K125,"ERROR"))))))))</f>
        <v>0</v>
      </c>
      <c r="M125" s="22"/>
      <c r="N125" s="26"/>
      <c r="O125" s="13"/>
      <c r="P125" s="27">
        <f>IF(M125="",0,IF(O125&gt;0,0,IF(N125="A",M125,IF(N125="M",M125*12,IF(N125="W",M125*Lookups!B$9,IF(N125="B",M125*+Lookups!B$10,IF(N125="S",M125*2,IF(AND(M125=0,O125&gt;0),O125,"ERROR"))))))))</f>
        <v>0</v>
      </c>
      <c r="Q125" s="149" t="str">
        <f>IF(OR(AND(P125=0,H125=0),O125&gt;0),"",IF(AND(I125="W",N125="W"),ROUND(P125-(H125*Lookups!$B$9),0),ROUND(+P125-L125,0)))</f>
        <v/>
      </c>
      <c r="R125" s="91" t="str">
        <f t="shared" si="23"/>
        <v/>
      </c>
      <c r="S125" s="24"/>
      <c r="T125" s="179" t="str">
        <f t="shared" si="20"/>
        <v/>
      </c>
      <c r="U125" s="175" t="str">
        <f t="shared" si="21"/>
        <v/>
      </c>
      <c r="V125" s="175" t="str">
        <f t="shared" si="19"/>
        <v/>
      </c>
      <c r="W125" s="13" t="str">
        <f t="shared" si="22"/>
        <v/>
      </c>
      <c r="X125" s="13"/>
      <c r="Y125" s="140"/>
    </row>
    <row r="126" spans="1:31" x14ac:dyDescent="0.35">
      <c r="B126" s="28" t="s">
        <v>294</v>
      </c>
      <c r="C126" s="4" t="s">
        <v>295</v>
      </c>
      <c r="D126" s="24">
        <v>600</v>
      </c>
      <c r="E126" s="22"/>
      <c r="F126" s="13">
        <v>450</v>
      </c>
      <c r="G126" s="27">
        <f t="shared" si="31"/>
        <v>450</v>
      </c>
      <c r="H126" s="22"/>
      <c r="I126" s="26"/>
      <c r="J126" s="13">
        <v>600</v>
      </c>
      <c r="K126" s="13">
        <v>400</v>
      </c>
      <c r="L126" s="27">
        <f>IF(I126="",0,IF(K126&gt;0,0,IF(I126="A",H126,IF(I126="M",H126*12,IF(I126="W",H126*(Lookups!$B$9+1),IF(I126="B",H126*(+Lookups!$B$10),IF(I126="S",H126*2,IF(AND(H126=0,K126&gt;0),K126,"ERROR"))))))))</f>
        <v>0</v>
      </c>
      <c r="M126" s="22"/>
      <c r="N126" s="26"/>
      <c r="O126" s="13">
        <v>600</v>
      </c>
      <c r="P126" s="27">
        <f>IF(M126="",0,IF(O126&gt;0,0,IF(N126="A",M126,IF(N126="M",M126*12,IF(N126="W",M126*Lookups!B$9,IF(N126="B",M126*+Lookups!B$10,IF(N126="S",M126*2,IF(AND(M126=0,O126&gt;0),O126,"ERROR"))))))))</f>
        <v>0</v>
      </c>
      <c r="Q126" s="149" t="str">
        <f>IF(OR(AND(P126=0,H126=0),O126&gt;0),"",IF(AND(I126="W",N126="W"),ROUND(P126-(H126*Lookups!$B$9),0),ROUND(+P126-L126,0)))</f>
        <v/>
      </c>
      <c r="R126" s="91" t="str">
        <f t="shared" si="23"/>
        <v>E</v>
      </c>
      <c r="S126" s="24">
        <v>100</v>
      </c>
      <c r="T126" s="179">
        <f t="shared" si="20"/>
        <v>600</v>
      </c>
      <c r="U126" s="175" t="str">
        <f t="shared" si="21"/>
        <v/>
      </c>
      <c r="V126" s="175" t="str">
        <f t="shared" si="19"/>
        <v/>
      </c>
      <c r="W126" s="13" t="str">
        <f t="shared" si="22"/>
        <v/>
      </c>
      <c r="X126" s="13"/>
      <c r="Y126" s="140"/>
    </row>
    <row r="127" spans="1:31" x14ac:dyDescent="0.35">
      <c r="B127" s="28" t="s">
        <v>296</v>
      </c>
      <c r="C127" s="4" t="s">
        <v>297</v>
      </c>
      <c r="D127" s="24">
        <v>2580</v>
      </c>
      <c r="E127" s="22"/>
      <c r="F127" s="13">
        <v>500</v>
      </c>
      <c r="G127" s="27">
        <f t="shared" si="31"/>
        <v>500</v>
      </c>
      <c r="H127" s="22"/>
      <c r="I127" s="26"/>
      <c r="J127" s="13">
        <v>600</v>
      </c>
      <c r="K127" s="13">
        <v>400</v>
      </c>
      <c r="L127" s="27">
        <f>IF(I127="",0,IF(K127&gt;0,0,IF(I127="A",H127,IF(I127="M",H127*12,IF(I127="W",H127*(Lookups!$B$9+1),IF(I127="B",H127*(+Lookups!$B$10),IF(I127="S",H127*2,IF(AND(H127=0,K127&gt;0),K127,"ERROR"))))))))</f>
        <v>0</v>
      </c>
      <c r="M127" s="22"/>
      <c r="N127" s="26"/>
      <c r="O127" s="13">
        <v>600</v>
      </c>
      <c r="P127" s="27">
        <f>IF(M127="",0,IF(O127&gt;0,0,IF(N127="A",M127,IF(N127="M",M127*12,IF(N127="W",M127*Lookups!B$9,IF(N127="B",M127*+Lookups!B$10,IF(N127="S",M127*2,IF(AND(M127=0,O127&gt;0),O127,"ERROR"))))))))</f>
        <v>0</v>
      </c>
      <c r="Q127" s="149" t="str">
        <f>IF(OR(AND(P127=0,H127=0),O127&gt;0),"",IF(AND(I127="W",N127="W"),ROUND(P127-(H127*Lookups!$B$9),0),ROUND(+P127-L127,0)))</f>
        <v/>
      </c>
      <c r="R127" s="91" t="str">
        <f t="shared" si="23"/>
        <v>E</v>
      </c>
      <c r="S127" s="24"/>
      <c r="T127" s="179" t="str">
        <f t="shared" si="20"/>
        <v/>
      </c>
      <c r="U127" s="175">
        <f t="shared" si="21"/>
        <v>600</v>
      </c>
      <c r="V127" s="175" t="str">
        <f t="shared" si="19"/>
        <v/>
      </c>
      <c r="W127" s="13" t="str">
        <f t="shared" si="22"/>
        <v/>
      </c>
      <c r="X127" s="13"/>
      <c r="Y127" s="140"/>
    </row>
    <row r="128" spans="1:31" x14ac:dyDescent="0.35">
      <c r="A128" s="157" t="s">
        <v>650</v>
      </c>
      <c r="B128" s="28" t="s">
        <v>377</v>
      </c>
      <c r="C128" s="4" t="s">
        <v>378</v>
      </c>
      <c r="D128" s="24"/>
      <c r="E128" s="22"/>
      <c r="F128" s="13">
        <v>100</v>
      </c>
      <c r="G128" s="27">
        <f t="shared" si="31"/>
        <v>100</v>
      </c>
      <c r="H128" s="22"/>
      <c r="I128" s="26"/>
      <c r="J128" s="13"/>
      <c r="K128" s="13"/>
      <c r="L128" s="27">
        <f>IF(I128="",0,IF(K128&gt;0,0,IF(I128="A",H128,IF(I128="M",H128*12,IF(I128="W",H128*(Lookups!$B$9+1),IF(I128="B",H128*(+Lookups!$B$10),IF(I128="S",H128*2,IF(AND(H128=0,K128&gt;0),K128,"ERROR"))))))))</f>
        <v>0</v>
      </c>
      <c r="M128" s="22"/>
      <c r="N128" s="26"/>
      <c r="O128" s="13"/>
      <c r="P128" s="27">
        <f>IF(M128="",0,IF(O128&gt;0,0,IF(N128="A",M128,IF(N128="M",M128*12,IF(N128="W",M128*Lookups!B$9,IF(N128="B",M128*+Lookups!B$10,IF(N128="S",M128*2,IF(AND(M128=0,O128&gt;0),O128,"ERROR"))))))))</f>
        <v>0</v>
      </c>
      <c r="Q128" s="149" t="str">
        <f>IF(OR(AND(P128=0,H128=0),O128&gt;0),"",IF(AND(I128="W",N128="W"),ROUND(P128-(H128*Lookups!$B$9),0),ROUND(+P128-L128,0)))</f>
        <v/>
      </c>
      <c r="R128" s="91" t="str">
        <f t="shared" si="23"/>
        <v/>
      </c>
      <c r="S128" s="24"/>
      <c r="T128" s="179" t="str">
        <f t="shared" si="20"/>
        <v/>
      </c>
      <c r="U128" s="175" t="str">
        <f t="shared" si="21"/>
        <v/>
      </c>
      <c r="V128" s="175">
        <f t="shared" si="19"/>
        <v>0</v>
      </c>
      <c r="W128" s="13" t="str">
        <f t="shared" si="22"/>
        <v/>
      </c>
      <c r="X128" s="13"/>
      <c r="Y128" s="140"/>
    </row>
    <row r="129" spans="1:30" x14ac:dyDescent="0.35">
      <c r="B129" s="28" t="s">
        <v>657</v>
      </c>
      <c r="C129" s="4" t="s">
        <v>658</v>
      </c>
      <c r="D129" s="24"/>
      <c r="E129" s="22"/>
      <c r="F129" s="13">
        <v>100</v>
      </c>
      <c r="G129" s="27">
        <f t="shared" ref="G129" si="32">IF(E129=0,F129,IF(AND(F129=0,J129="A"),E129,IF(F129&gt;E129,F129, IF(F129/E129&gt;0.73,E129,F129))))</f>
        <v>100</v>
      </c>
      <c r="H129" s="22"/>
      <c r="I129" s="26"/>
      <c r="J129" s="13"/>
      <c r="K129" s="13"/>
      <c r="L129" s="27">
        <f>IF(I129="",0,IF(K129&gt;0,0,IF(I129="A",H129,IF(I129="M",H129*12,IF(I129="W",H129*(Lookups!$B$9+1),IF(I129="B",H129*(+Lookups!$B$10),IF(I129="S",H129*2,IF(AND(H129=0,K129&gt;0),K129,"ERROR"))))))))</f>
        <v>0</v>
      </c>
      <c r="M129" s="22"/>
      <c r="N129" s="26"/>
      <c r="O129" s="13"/>
      <c r="P129" s="27">
        <f>IF(M129="",0,IF(O129&gt;0,0,IF(N129="A",M129,IF(N129="M",M129*12,IF(N129="W",M129*Lookups!B$9,IF(N129="B",M129*+Lookups!B$10,IF(N129="S",M129*2,IF(AND(M129=0,O129&gt;0),O129,"ERROR"))))))))</f>
        <v>0</v>
      </c>
      <c r="Q129" s="149" t="str">
        <f>IF(OR(AND(P129=0,H129=0),O129&gt;0),"",IF(AND(I129="W",N129="W"),ROUND(P129-(H129*Lookups!$B$9),0),ROUND(+P129-L129,0)))</f>
        <v/>
      </c>
      <c r="R129" s="91" t="str">
        <f t="shared" ref="R129" si="33">IF(AND(O129&gt;0,J129&gt;0),"E",IF(Q129="","",IF(Q129=0,"S",IF(AND(Q129&gt;0,NOT(H129=0)),"I",IF(AND(Q129&gt;0,H129=0),"N",IF(Q129&lt;0,"D","ERROR"))))))</f>
        <v/>
      </c>
      <c r="S129" s="24">
        <v>100</v>
      </c>
      <c r="T129" s="179" t="str">
        <f t="shared" si="20"/>
        <v/>
      </c>
      <c r="U129" s="175" t="str">
        <f t="shared" si="21"/>
        <v/>
      </c>
      <c r="V129" s="175">
        <f t="shared" si="19"/>
        <v>600</v>
      </c>
      <c r="W129" s="13" t="str">
        <f t="shared" si="22"/>
        <v/>
      </c>
      <c r="X129" s="13"/>
      <c r="Y129" s="140"/>
    </row>
    <row r="130" spans="1:30" x14ac:dyDescent="0.35">
      <c r="B130" s="28" t="s">
        <v>657</v>
      </c>
      <c r="C130" s="4" t="s">
        <v>659</v>
      </c>
      <c r="D130" s="24"/>
      <c r="E130" s="22"/>
      <c r="F130" s="13">
        <v>100</v>
      </c>
      <c r="G130" s="27">
        <f t="shared" ref="G130" si="34">IF(E130=0,F130,IF(AND(F130=0,J130="A"),E130,IF(F130&gt;E130,F130, IF(F130/E130&gt;0.73,E130,F130))))</f>
        <v>100</v>
      </c>
      <c r="H130" s="22"/>
      <c r="I130" s="26"/>
      <c r="J130" s="13"/>
      <c r="K130" s="13"/>
      <c r="L130" s="27">
        <f>IF(I130="",0,IF(K130&gt;0,0,IF(I130="A",H130,IF(I130="M",H130*12,IF(I130="W",H130*(Lookups!$B$9+1),IF(I130="B",H130*(+Lookups!$B$10),IF(I130="S",H130*2,IF(AND(H130=0,K130&gt;0),K130,"ERROR"))))))))</f>
        <v>0</v>
      </c>
      <c r="M130" s="22"/>
      <c r="N130" s="26"/>
      <c r="O130" s="13"/>
      <c r="P130" s="27">
        <f>IF(M130="",0,IF(O130&gt;0,0,IF(N130="A",M130,IF(N130="M",M130*12,IF(N130="W",M130*Lookups!B$9,IF(N130="B",M130*+Lookups!B$10,IF(N130="S",M130*2,IF(AND(M130=0,O130&gt;0),O130,"ERROR"))))))))</f>
        <v>0</v>
      </c>
      <c r="Q130" s="149" t="str">
        <f>IF(OR(AND(P130=0,H130=0),O130&gt;0),"",IF(AND(I130="W",N130="W"),ROUND(P130-(H130*Lookups!$B$9),0),ROUND(+P130-L130,0)))</f>
        <v/>
      </c>
      <c r="R130" s="91" t="str">
        <f t="shared" ref="R130" si="35">IF(AND(O130&gt;0,J130&gt;0),"E",IF(Q130="","",IF(Q130=0,"S",IF(AND(Q130&gt;0,NOT(H130=0)),"I",IF(AND(Q130&gt;0,H130=0),"N",IF(Q130&lt;0,"D","ERROR"))))))</f>
        <v/>
      </c>
      <c r="S130" s="24">
        <v>25</v>
      </c>
      <c r="T130" s="179" t="str">
        <f t="shared" si="20"/>
        <v/>
      </c>
      <c r="U130" s="175" t="str">
        <f t="shared" si="21"/>
        <v/>
      </c>
      <c r="V130" s="175">
        <f t="shared" si="19"/>
        <v>150</v>
      </c>
      <c r="W130" s="13" t="str">
        <f t="shared" si="22"/>
        <v/>
      </c>
      <c r="X130" s="13"/>
      <c r="Y130" s="140"/>
    </row>
    <row r="131" spans="1:30" x14ac:dyDescent="0.35">
      <c r="A131" s="157" t="s">
        <v>650</v>
      </c>
      <c r="B131" s="28" t="s">
        <v>157</v>
      </c>
      <c r="C131" s="4" t="s">
        <v>158</v>
      </c>
      <c r="D131" s="24">
        <v>1125</v>
      </c>
      <c r="E131" s="22">
        <v>1040</v>
      </c>
      <c r="F131" s="13">
        <v>750</v>
      </c>
      <c r="G131" s="27">
        <f t="shared" si="31"/>
        <v>750</v>
      </c>
      <c r="H131" s="22"/>
      <c r="I131" s="26" t="s">
        <v>43</v>
      </c>
      <c r="J131" s="13"/>
      <c r="K131" s="13">
        <v>1000</v>
      </c>
      <c r="L131" s="27">
        <f>IF(I131="",0,IF(K131&gt;0,0,IF(I131="A",H131,IF(I131="M",H131*12,IF(I131="W",H131*(Lookups!$B$9+1),IF(I131="B",H131*(+Lookups!$B$10),IF(I131="S",H131*2,IF(AND(H131=0,K131&gt;0),K131,"ERROR"))))))))</f>
        <v>0</v>
      </c>
      <c r="M131" s="22"/>
      <c r="N131" s="26"/>
      <c r="O131" s="13"/>
      <c r="P131" s="27">
        <f>IF(M131="",0,IF(O131&gt;0,0,IF(N131="A",M131,IF(N131="M",M131*12,IF(N131="W",M131*Lookups!B$9,IF(N131="B",M131*+Lookups!B$10,IF(N131="S",M131*2,IF(AND(M131=0,O131&gt;0),O131,"ERROR"))))))))</f>
        <v>0</v>
      </c>
      <c r="Q131" s="149" t="str">
        <f>IF(OR(AND(P131=0,H131=0),O131&gt;0),"",IF(AND(I131="W",N131="W"),ROUND(P131-(H131*Lookups!$B$9),0),ROUND(+P131-L131,0)))</f>
        <v/>
      </c>
      <c r="R131" s="91" t="str">
        <f t="shared" si="23"/>
        <v/>
      </c>
      <c r="S131" s="24"/>
      <c r="T131" s="179" t="str">
        <f t="shared" si="20"/>
        <v/>
      </c>
      <c r="U131" s="175" t="str">
        <f t="shared" si="21"/>
        <v/>
      </c>
      <c r="V131" s="175" t="str">
        <f t="shared" si="19"/>
        <v/>
      </c>
      <c r="W131" s="13" t="str">
        <f t="shared" si="22"/>
        <v/>
      </c>
      <c r="X131" s="13"/>
      <c r="Y131" s="140"/>
    </row>
    <row r="132" spans="1:30" x14ac:dyDescent="0.35">
      <c r="B132" s="28" t="s">
        <v>379</v>
      </c>
      <c r="C132" s="4" t="s">
        <v>28</v>
      </c>
      <c r="D132" s="24"/>
      <c r="E132" s="22"/>
      <c r="F132" s="13">
        <v>180</v>
      </c>
      <c r="G132" s="27">
        <f t="shared" si="31"/>
        <v>180</v>
      </c>
      <c r="H132" s="22">
        <v>75</v>
      </c>
      <c r="I132" s="26" t="s">
        <v>44</v>
      </c>
      <c r="J132" s="13">
        <v>900</v>
      </c>
      <c r="K132" s="13"/>
      <c r="L132" s="27">
        <f>IF(I132="",0,IF(K132&gt;0,0,IF(I132="A",H132,IF(I132="M",H132*12,IF(I132="W",H132*(Lookups!$B$9+1),IF(I132="B",H132*(+Lookups!$B$10),IF(I132="S",H132*2,IF(AND(H132=0,K132&gt;0),K132,"ERROR"))))))))</f>
        <v>900</v>
      </c>
      <c r="M132" s="22">
        <v>75</v>
      </c>
      <c r="N132" s="26" t="s">
        <v>44</v>
      </c>
      <c r="O132" s="13"/>
      <c r="P132" s="27">
        <f>IF(M132="",0,IF(O132&gt;0,0,IF(N132="A",M132,IF(N132="M",M132*12,IF(N132="W",M132*Lookups!B$9,IF(N132="B",M132*+Lookups!B$10,IF(N132="S",M132*2,IF(AND(M132=0,O132&gt;0),O132,"ERROR"))))))))</f>
        <v>900</v>
      </c>
      <c r="Q132" s="149">
        <f>IF(OR(AND(P132=0,H132=0),O132&gt;0),"",IF(AND(I132="W",N132="W"),ROUND(P132-(H132*Lookups!$B$9),0),ROUND(+P132-L132,0)))</f>
        <v>0</v>
      </c>
      <c r="R132" s="91" t="str">
        <f t="shared" si="23"/>
        <v>S</v>
      </c>
      <c r="S132" s="24">
        <v>150</v>
      </c>
      <c r="T132" s="179">
        <f t="shared" si="20"/>
        <v>0</v>
      </c>
      <c r="U132" s="175" t="str">
        <f t="shared" si="21"/>
        <v/>
      </c>
      <c r="V132" s="175" t="str">
        <f t="shared" si="19"/>
        <v/>
      </c>
      <c r="W132" s="13" t="str">
        <f t="shared" si="22"/>
        <v/>
      </c>
      <c r="X132" s="13"/>
      <c r="Y132" s="140"/>
      <c r="Z132" s="67" t="s">
        <v>584</v>
      </c>
      <c r="AA132" s="68" t="s">
        <v>585</v>
      </c>
      <c r="AB132" s="68" t="s">
        <v>571</v>
      </c>
      <c r="AC132" s="69" t="s">
        <v>403</v>
      </c>
      <c r="AD132" s="70">
        <v>53406</v>
      </c>
    </row>
    <row r="133" spans="1:30" x14ac:dyDescent="0.35">
      <c r="B133" s="28" t="s">
        <v>379</v>
      </c>
      <c r="C133" s="4" t="s">
        <v>319</v>
      </c>
      <c r="D133" s="24"/>
      <c r="E133" s="22"/>
      <c r="F133" s="13">
        <v>2000</v>
      </c>
      <c r="G133" s="27">
        <f t="shared" si="31"/>
        <v>2000</v>
      </c>
      <c r="H133" s="22">
        <v>400</v>
      </c>
      <c r="I133" s="26" t="s">
        <v>44</v>
      </c>
      <c r="J133" s="13">
        <v>4850</v>
      </c>
      <c r="K133" s="13"/>
      <c r="L133" s="27">
        <f>IF(I133="",0,IF(K133&gt;0,0,IF(I133="A",H133,IF(I133="M",H133*12,IF(I133="W",H133*(Lookups!$B$9+1),IF(I133="B",H133*(+Lookups!$B$10),IF(I133="S",H133*2,IF(AND(H133=0,K133&gt;0),K133,"ERROR"))))))))</f>
        <v>4800</v>
      </c>
      <c r="M133" s="22">
        <v>500</v>
      </c>
      <c r="N133" s="26" t="s">
        <v>44</v>
      </c>
      <c r="O133" s="13"/>
      <c r="P133" s="27">
        <f>IF(M133="",0,IF(O133&gt;0,0,IF(N133="A",M133,IF(N133="M",M133*12,IF(N133="W",M133*Lookups!B$9,IF(N133="B",M133*+Lookups!B$10,IF(N133="S",M133*2,IF(AND(M133=0,O133&gt;0),O133,"ERROR"))))))))</f>
        <v>6000</v>
      </c>
      <c r="Q133" s="149">
        <f>IF(OR(AND(P133=0,H133=0),O133&gt;0),"",IF(AND(I133="W",N133="W"),ROUND(P133-(H133*Lookups!$B$9),0),ROUND(+P133-L133,0)))</f>
        <v>1200</v>
      </c>
      <c r="R133" s="91" t="str">
        <f t="shared" si="23"/>
        <v>I</v>
      </c>
      <c r="S133" s="24">
        <v>1000</v>
      </c>
      <c r="T133" s="179">
        <f t="shared" si="20"/>
        <v>0</v>
      </c>
      <c r="U133" s="175" t="str">
        <f t="shared" si="21"/>
        <v/>
      </c>
      <c r="V133" s="175" t="str">
        <f t="shared" ref="V133:V196" si="36">IF((L133+P133+D133+O133)=0,S133*6,"")</f>
        <v/>
      </c>
      <c r="W133" s="13" t="str">
        <f t="shared" si="22"/>
        <v/>
      </c>
      <c r="X133" s="13"/>
      <c r="Y133" s="140"/>
      <c r="Z133" s="67" t="s">
        <v>586</v>
      </c>
      <c r="AA133" s="68" t="s">
        <v>587</v>
      </c>
      <c r="AB133" s="68" t="s">
        <v>426</v>
      </c>
      <c r="AC133" s="69" t="s">
        <v>403</v>
      </c>
      <c r="AD133" s="70">
        <v>53403</v>
      </c>
    </row>
    <row r="134" spans="1:30" x14ac:dyDescent="0.35">
      <c r="B134" s="166" t="s">
        <v>298</v>
      </c>
      <c r="C134" s="4" t="s">
        <v>299</v>
      </c>
      <c r="D134" s="24">
        <v>2800</v>
      </c>
      <c r="E134" s="22"/>
      <c r="F134" s="13">
        <v>900</v>
      </c>
      <c r="G134" s="27">
        <f t="shared" ref="G134:G166" si="37">IF(E134=0,F134,IF(AND(F134=0,J134="A"),E134,IF(F134&gt;E134,F134, IF(F134/E134&gt;0.73,E134,F134))))</f>
        <v>900</v>
      </c>
      <c r="H134" s="22"/>
      <c r="I134" s="26"/>
      <c r="J134" s="13">
        <v>4750</v>
      </c>
      <c r="K134" s="13">
        <v>1000</v>
      </c>
      <c r="L134" s="27">
        <f>IF(I134="",0,IF(K134&gt;0,0,IF(I134="A",H134,IF(I134="M",H134*12,IF(I134="W",H134*(Lookups!$B$9+1),IF(I134="B",H134*(+Lookups!$B$10),IF(I134="S",H134*2,IF(AND(H134=0,K134&gt;0),K134,"ERROR"))))))))</f>
        <v>0</v>
      </c>
      <c r="M134" s="22"/>
      <c r="N134" s="26"/>
      <c r="O134" s="13">
        <v>4000</v>
      </c>
      <c r="P134" s="27">
        <f>IF(M134="",0,IF(O134&gt;0,0,IF(N134="A",M134,IF(N134="M",M134*12,IF(N134="W",M134*Lookups!B$9,IF(N134="B",M134*+Lookups!B$10,IF(N134="S",M134*2,IF(AND(M134=0,O134&gt;0),O134,"ERROR"))))))))</f>
        <v>0</v>
      </c>
      <c r="Q134" s="149" t="str">
        <f>IF(OR(AND(P134=0,H134=0),O134&gt;0),"",IF(AND(I134="W",N134="W"),ROUND(P134-(H134*Lookups!$B$9),0),ROUND(+P134-L134,0)))</f>
        <v/>
      </c>
      <c r="R134" s="91" t="str">
        <f t="shared" si="23"/>
        <v>E</v>
      </c>
      <c r="S134" s="24">
        <v>500</v>
      </c>
      <c r="T134" s="179">
        <f t="shared" si="20"/>
        <v>4000</v>
      </c>
      <c r="U134" s="175" t="str">
        <f t="shared" si="21"/>
        <v/>
      </c>
      <c r="V134" s="175" t="str">
        <f t="shared" si="36"/>
        <v/>
      </c>
      <c r="W134" s="13" t="str">
        <f t="shared" si="22"/>
        <v/>
      </c>
      <c r="X134" s="13"/>
      <c r="Y134" s="140"/>
    </row>
    <row r="135" spans="1:30" x14ac:dyDescent="0.35">
      <c r="B135" s="28" t="s">
        <v>660</v>
      </c>
      <c r="C135" s="4" t="s">
        <v>661</v>
      </c>
      <c r="D135" s="24"/>
      <c r="E135" s="22"/>
      <c r="F135" s="13">
        <v>2000</v>
      </c>
      <c r="G135" s="27">
        <f t="shared" si="37"/>
        <v>2000</v>
      </c>
      <c r="H135" s="22"/>
      <c r="I135" s="26"/>
      <c r="J135" s="13">
        <v>725</v>
      </c>
      <c r="K135" s="13"/>
      <c r="L135" s="27">
        <f>IF(I135="",0,IF(K135&gt;0,0,IF(I135="A",H135,IF(I135="M",H135*12,IF(I135="W",H135*(Lookups!$B$9+1),IF(I135="B",H135*(+Lookups!$B$10),IF(I135="S",H135*2,IF(AND(H135=0,K135&gt;0),K135,"ERROR"))))))))</f>
        <v>0</v>
      </c>
      <c r="M135" s="22"/>
      <c r="N135" s="26"/>
      <c r="O135" s="13">
        <v>1000</v>
      </c>
      <c r="P135" s="27">
        <f>IF(M135="",0,IF(O135&gt;0,0,IF(N135="A",M135,IF(N135="M",M135*12,IF(N135="W",M135*Lookups!B$9,IF(N135="B",M135*+Lookups!B$10,IF(N135="S",M135*2,IF(AND(M135=0,O135&gt;0),O135,"ERROR"))))))))</f>
        <v>0</v>
      </c>
      <c r="Q135" s="149" t="str">
        <f>IF(OR(AND(P135=0,H135=0),O135&gt;0),"",IF(AND(I135="W",N135="W"),ROUND(P135-(H135*Lookups!$B$9),0),ROUND(+P135-L135,0)))</f>
        <v/>
      </c>
      <c r="R135" s="91" t="str">
        <f t="shared" ref="R135" si="38">IF(AND(O135&gt;0,J135&gt;0),"E",IF(Q135="","",IF(Q135=0,"S",IF(AND(Q135&gt;0,NOT(H135=0)),"I",IF(AND(Q135&gt;0,H135=0),"N",IF(Q135&lt;0,"D","ERROR"))))))</f>
        <v>E</v>
      </c>
      <c r="S135" s="24">
        <v>725</v>
      </c>
      <c r="T135" s="179">
        <f t="shared" ref="T135:T198" si="39">IF(AND(S135&gt;0,J135&gt;0),O135,"")</f>
        <v>1000</v>
      </c>
      <c r="U135" s="175" t="str">
        <f t="shared" ref="U135:U198" si="40">IF(AND(S135&lt;1,J135&gt;0),O135,"")</f>
        <v/>
      </c>
      <c r="V135" s="175" t="str">
        <f t="shared" si="36"/>
        <v/>
      </c>
      <c r="W135" s="13" t="str">
        <f t="shared" ref="W135:W149" si="41">IF(X135="","",P135)</f>
        <v/>
      </c>
      <c r="X135" s="13"/>
      <c r="Y135" s="140"/>
      <c r="Z135" s="67" t="s">
        <v>586</v>
      </c>
      <c r="AA135" s="68" t="s">
        <v>587</v>
      </c>
      <c r="AB135" s="68" t="s">
        <v>426</v>
      </c>
      <c r="AC135" s="69" t="s">
        <v>403</v>
      </c>
      <c r="AD135" s="70">
        <v>53403</v>
      </c>
    </row>
    <row r="136" spans="1:30" x14ac:dyDescent="0.35">
      <c r="B136" s="28" t="s">
        <v>159</v>
      </c>
      <c r="C136" s="4" t="s">
        <v>160</v>
      </c>
      <c r="D136" s="24">
        <v>4560</v>
      </c>
      <c r="E136" s="22">
        <v>4680</v>
      </c>
      <c r="F136" s="13">
        <v>3390</v>
      </c>
      <c r="G136" s="27">
        <f t="shared" si="37"/>
        <v>3390</v>
      </c>
      <c r="H136" s="22"/>
      <c r="I136" s="26" t="s">
        <v>43</v>
      </c>
      <c r="J136" s="13">
        <v>4520</v>
      </c>
      <c r="K136" s="13">
        <v>4000</v>
      </c>
      <c r="L136" s="27">
        <f>IF(I136="",0,IF(K136&gt;0,0,IF(I136="A",H136,IF(I136="M",H136*12,IF(I136="W",H136*(Lookups!$B$9+1),IF(I136="B",H136*(+Lookups!$B$10),IF(I136="S",H136*2,IF(AND(H136=0,K136&gt;0),K136,"ERROR"))))))))</f>
        <v>0</v>
      </c>
      <c r="M136" s="22"/>
      <c r="N136" s="26"/>
      <c r="O136" s="13">
        <v>4500</v>
      </c>
      <c r="P136" s="27">
        <f>IF(M136="",0,IF(O136&gt;0,0,IF(N136="A",M136,IF(N136="M",M136*12,IF(N136="W",M136*Lookups!B$9,IF(N136="B",M136*+Lookups!B$10,IF(N136="S",M136*2,IF(AND(M136=0,O136&gt;0),O136,"ERROR"))))))))</f>
        <v>0</v>
      </c>
      <c r="Q136" s="149" t="str">
        <f>IF(OR(AND(P136=0,H136=0),O136&gt;0),"",IF(AND(I136="W",N136="W"),ROUND(P136-(H136*Lookups!$B$9),0),ROUND(+P136-L136,0)))</f>
        <v/>
      </c>
      <c r="R136" s="91" t="str">
        <f t="shared" si="23"/>
        <v>E</v>
      </c>
      <c r="S136" s="24">
        <v>570</v>
      </c>
      <c r="T136" s="179">
        <f t="shared" si="39"/>
        <v>4500</v>
      </c>
      <c r="U136" s="175" t="str">
        <f t="shared" si="40"/>
        <v/>
      </c>
      <c r="V136" s="175" t="str">
        <f t="shared" si="36"/>
        <v/>
      </c>
      <c r="W136" s="13" t="str">
        <f t="shared" si="41"/>
        <v/>
      </c>
      <c r="X136" s="13"/>
      <c r="Y136" s="140"/>
    </row>
    <row r="137" spans="1:30" x14ac:dyDescent="0.35">
      <c r="B137" s="28" t="s">
        <v>380</v>
      </c>
      <c r="C137" s="4" t="s">
        <v>381</v>
      </c>
      <c r="D137" s="24"/>
      <c r="E137" s="22"/>
      <c r="F137" s="13">
        <v>500</v>
      </c>
      <c r="G137" s="27">
        <f t="shared" si="37"/>
        <v>500</v>
      </c>
      <c r="H137" s="22">
        <v>100</v>
      </c>
      <c r="I137" s="26" t="s">
        <v>44</v>
      </c>
      <c r="J137" s="13">
        <v>1200</v>
      </c>
      <c r="K137" s="13"/>
      <c r="L137" s="27">
        <f>IF(I137="",0,IF(K137&gt;0,0,IF(I137="A",H137,IF(I137="M",H137*12,IF(I137="W",H137*(Lookups!$B$9+1),IF(I137="B",H137*(+Lookups!$B$10),IF(I137="S",H137*2,IF(AND(H137=0,K137&gt;0),K137,"ERROR"))))))))</f>
        <v>1200</v>
      </c>
      <c r="M137" s="22">
        <v>100</v>
      </c>
      <c r="N137" s="26" t="s">
        <v>44</v>
      </c>
      <c r="O137" s="13"/>
      <c r="P137" s="27">
        <f>IF(M137="",0,IF(O137&gt;0,0,IF(N137="A",M137,IF(N137="M",M137*12,IF(N137="W",M137*Lookups!B$9,IF(N137="B",M137*+Lookups!B$10,IF(N137="S",M137*2,IF(AND(M137=0,O137&gt;0),O137,"ERROR"))))))))</f>
        <v>1200</v>
      </c>
      <c r="Q137" s="149">
        <f>IF(OR(AND(P137=0,H137=0),O137&gt;0),"",IF(AND(I137="W",N137="W"),ROUND(P137-(H137*Lookups!$B$9),0),ROUND(+P137-L137,0)))</f>
        <v>0</v>
      </c>
      <c r="R137" s="91" t="str">
        <f t="shared" si="23"/>
        <v>S</v>
      </c>
      <c r="S137" s="24">
        <v>200</v>
      </c>
      <c r="T137" s="179">
        <f t="shared" si="39"/>
        <v>0</v>
      </c>
      <c r="U137" s="175" t="str">
        <f t="shared" si="40"/>
        <v/>
      </c>
      <c r="V137" s="175" t="str">
        <f t="shared" si="36"/>
        <v/>
      </c>
      <c r="W137" s="13" t="str">
        <f t="shared" si="41"/>
        <v/>
      </c>
      <c r="X137" s="13"/>
      <c r="Y137" s="140"/>
      <c r="Z137" s="67" t="s">
        <v>470</v>
      </c>
      <c r="AA137" s="68" t="s">
        <v>471</v>
      </c>
      <c r="AB137" s="68" t="s">
        <v>426</v>
      </c>
      <c r="AC137" s="69" t="s">
        <v>403</v>
      </c>
      <c r="AD137" s="70">
        <v>53402</v>
      </c>
    </row>
    <row r="138" spans="1:30" x14ac:dyDescent="0.35">
      <c r="B138" s="28" t="s">
        <v>161</v>
      </c>
      <c r="C138" s="4" t="s">
        <v>162</v>
      </c>
      <c r="D138" s="24">
        <v>3840</v>
      </c>
      <c r="E138" s="22">
        <v>3840</v>
      </c>
      <c r="F138" s="13">
        <v>2880</v>
      </c>
      <c r="G138" s="27">
        <f t="shared" si="37"/>
        <v>3840</v>
      </c>
      <c r="H138" s="22">
        <v>74.716981132075475</v>
      </c>
      <c r="I138" s="26" t="s">
        <v>43</v>
      </c>
      <c r="J138" s="13">
        <v>3630</v>
      </c>
      <c r="K138" s="13"/>
      <c r="L138" s="27">
        <f>IF(I138="",0,IF(K138&gt;0,0,IF(I138="A",H138,IF(I138="M",H138*12,IF(I138="W",H138*(Lookups!$B$9+1),IF(I138="B",H138*(+Lookups!$B$10),IF(I138="S",H138*2,IF(AND(H138=0,K138&gt;0),K138,"ERROR"))))))))</f>
        <v>3960</v>
      </c>
      <c r="M138" s="22">
        <v>340</v>
      </c>
      <c r="N138" s="26" t="s">
        <v>44</v>
      </c>
      <c r="O138" s="13"/>
      <c r="P138" s="27">
        <f>IF(M138="",0,IF(O138&gt;0,0,IF(N138="A",M138,IF(N138="M",M138*12,IF(N138="W",M138*Lookups!B$9,IF(N138="B",M138*+Lookups!B$10,IF(N138="S",M138*2,IF(AND(M138=0,O138&gt;0),O138,"ERROR"))))))))</f>
        <v>4080</v>
      </c>
      <c r="Q138" s="149">
        <f>IF(OR(AND(P138=0,H138=0),O138&gt;0),"",IF(AND(I138="W",N138="W"),ROUND(P138-(H138*Lookups!$B$9),0),ROUND(+P138-L138,0)))</f>
        <v>120</v>
      </c>
      <c r="R138" s="91" t="str">
        <f t="shared" si="23"/>
        <v>I</v>
      </c>
      <c r="S138" s="24">
        <v>660</v>
      </c>
      <c r="T138" s="179">
        <f t="shared" si="39"/>
        <v>0</v>
      </c>
      <c r="U138" s="175" t="str">
        <f t="shared" si="40"/>
        <v/>
      </c>
      <c r="V138" s="175" t="str">
        <f t="shared" si="36"/>
        <v/>
      </c>
      <c r="W138" s="13" t="str">
        <f t="shared" si="41"/>
        <v/>
      </c>
      <c r="X138" s="13"/>
      <c r="Y138" s="140"/>
      <c r="Z138" s="67" t="s">
        <v>472</v>
      </c>
      <c r="AA138" s="68" t="s">
        <v>473</v>
      </c>
      <c r="AB138" s="68" t="s">
        <v>426</v>
      </c>
      <c r="AC138" s="69" t="s">
        <v>403</v>
      </c>
      <c r="AD138" s="70" t="s">
        <v>588</v>
      </c>
    </row>
    <row r="139" spans="1:30" x14ac:dyDescent="0.35">
      <c r="A139" s="157" t="s">
        <v>650</v>
      </c>
      <c r="B139" s="127" t="s">
        <v>300</v>
      </c>
      <c r="C139" s="128" t="s">
        <v>297</v>
      </c>
      <c r="D139" s="146">
        <v>100</v>
      </c>
      <c r="E139" s="130"/>
      <c r="F139" s="129"/>
      <c r="G139" s="131">
        <f t="shared" si="37"/>
        <v>0</v>
      </c>
      <c r="H139" s="130"/>
      <c r="I139" s="132"/>
      <c r="J139" s="129"/>
      <c r="K139" s="129"/>
      <c r="L139" s="131">
        <f>IF(I139="",0,IF(K139&gt;0,0,IF(I139="A",H139,IF(I139="M",H139*12,IF(I139="W",H139*(Lookups!$B$9+1),IF(I139="B",H139*(+Lookups!$B$10),IF(I139="S",H139*2,IF(AND(H139=0,K139&gt;0),K139,"ERROR"))))))))</f>
        <v>0</v>
      </c>
      <c r="M139" s="130"/>
      <c r="N139" s="132"/>
      <c r="O139" s="129"/>
      <c r="P139" s="131">
        <f>IF(M139="",0,IF(O139&gt;0,0,IF(N139="A",M139,IF(N139="M",M139*12,IF(N139="W",M139*Lookups!B$9,IF(N139="B",M139*+Lookups!B$10,IF(N139="S",M139*2,IF(AND(M139=0,O139&gt;0),O139,"ERROR"))))))))</f>
        <v>0</v>
      </c>
      <c r="Q139" s="101" t="str">
        <f>IF(OR(AND(P139=0,H139=0),O139&gt;0),"",IF(AND(I139="W",N139="W"),ROUND(P139-(H139*Lookups!$B$9),0),ROUND(+P139-L139,0)))</f>
        <v/>
      </c>
      <c r="R139" s="102" t="str">
        <f t="shared" si="23"/>
        <v/>
      </c>
      <c r="S139" s="146"/>
      <c r="T139" s="180" t="str">
        <f t="shared" si="39"/>
        <v/>
      </c>
      <c r="U139" s="176" t="str">
        <f t="shared" si="40"/>
        <v/>
      </c>
      <c r="V139" s="176" t="str">
        <f t="shared" si="36"/>
        <v/>
      </c>
      <c r="W139" s="129" t="str">
        <f t="shared" si="41"/>
        <v/>
      </c>
      <c r="X139" s="129"/>
      <c r="Y139" s="141"/>
      <c r="Z139" s="133" t="s">
        <v>510</v>
      </c>
      <c r="AA139" s="133"/>
      <c r="AB139" s="133"/>
      <c r="AC139" s="134"/>
      <c r="AD139" s="135"/>
    </row>
    <row r="140" spans="1:30" x14ac:dyDescent="0.35">
      <c r="B140" s="28" t="s">
        <v>163</v>
      </c>
      <c r="C140" s="4" t="s">
        <v>301</v>
      </c>
      <c r="D140" s="24">
        <v>780</v>
      </c>
      <c r="E140" s="22">
        <v>884</v>
      </c>
      <c r="F140" s="13">
        <v>620</v>
      </c>
      <c r="G140" s="27">
        <f t="shared" si="37"/>
        <v>620</v>
      </c>
      <c r="H140" s="22">
        <v>20</v>
      </c>
      <c r="I140" s="26" t="s">
        <v>43</v>
      </c>
      <c r="J140" s="13">
        <v>1040</v>
      </c>
      <c r="K140" s="13"/>
      <c r="L140" s="27">
        <f>IF(I140="",0,IF(K140&gt;0,0,IF(I140="A",H140,IF(I140="M",H140*12,IF(I140="W",H140*(Lookups!$B$9+1),IF(I140="B",H140*(+Lookups!$B$10),IF(I140="S",H140*2,IF(AND(H140=0,K140&gt;0),K140,"ERROR"))))))))</f>
        <v>1060</v>
      </c>
      <c r="M140" s="22">
        <v>20</v>
      </c>
      <c r="N140" s="26" t="s">
        <v>43</v>
      </c>
      <c r="O140" s="13"/>
      <c r="P140" s="27">
        <f>IF(M140="",0,IF(O140&gt;0,0,IF(N140="A",M140,IF(N140="M",M140*12,IF(N140="W",M140*Lookups!B$9,IF(N140="B",M140*+Lookups!B$10,IF(N140="S",M140*2,IF(AND(M140=0,O140&gt;0),O140,"ERROR"))))))))</f>
        <v>1040</v>
      </c>
      <c r="Q140" s="149">
        <f>IF(OR(AND(P140=0,H140=0),O140&gt;0),"",IF(AND(I140="W",N140="W"),ROUND(P140-(H140*Lookups!$B$9),0),ROUND(+P140-L140,0)))</f>
        <v>0</v>
      </c>
      <c r="R140" s="91" t="str">
        <f t="shared" ref="R140:R206" si="42">IF(AND(O140&gt;0,J140&gt;0),"E",IF(Q140="","",IF(Q140=0,"S",IF(AND(Q140&gt;0,NOT(H140=0)),"I",IF(AND(Q140&gt;0,H140=0),"N",IF(Q140&lt;0,"D","ERROR"))))))</f>
        <v>S</v>
      </c>
      <c r="S140" s="24">
        <v>160</v>
      </c>
      <c r="T140" s="179">
        <f t="shared" si="39"/>
        <v>0</v>
      </c>
      <c r="U140" s="175" t="str">
        <f t="shared" si="40"/>
        <v/>
      </c>
      <c r="V140" s="175" t="str">
        <f t="shared" si="36"/>
        <v/>
      </c>
      <c r="W140" s="13" t="str">
        <f t="shared" si="41"/>
        <v/>
      </c>
      <c r="X140" s="13"/>
      <c r="Y140" s="140"/>
      <c r="Z140" s="67" t="s">
        <v>474</v>
      </c>
      <c r="AA140" s="68" t="s">
        <v>475</v>
      </c>
      <c r="AB140" s="68" t="s">
        <v>408</v>
      </c>
      <c r="AC140" s="69" t="s">
        <v>403</v>
      </c>
      <c r="AD140" s="70">
        <v>53126</v>
      </c>
    </row>
    <row r="141" spans="1:30" x14ac:dyDescent="0.35">
      <c r="B141" s="28" t="s">
        <v>638</v>
      </c>
      <c r="C141" s="4" t="s">
        <v>639</v>
      </c>
      <c r="D141" s="24"/>
      <c r="E141" s="22"/>
      <c r="F141" s="13"/>
      <c r="G141" s="27">
        <f t="shared" si="37"/>
        <v>0</v>
      </c>
      <c r="H141" s="22"/>
      <c r="I141" s="26"/>
      <c r="J141" s="13">
        <v>100</v>
      </c>
      <c r="K141" s="13"/>
      <c r="L141" s="27">
        <f>IF(I141="",0,IF(K141&gt;0,0,IF(I141="A",H141,IF(I141="M",H141*12,IF(I141="W",H141*(Lookups!$B$9+1),IF(I141="B",H141*(+Lookups!$B$10),IF(I141="S",H141*2,IF(AND(H141=0,K141&gt;0),K141,"ERROR"))))))))</f>
        <v>0</v>
      </c>
      <c r="M141" s="22"/>
      <c r="N141" s="26"/>
      <c r="O141" s="13"/>
      <c r="P141" s="27">
        <f>IF(M141="",0,IF(O141&gt;0,0,IF(N141="A",M141,IF(N141="M",M141*12,IF(N141="W",M141*Lookups!B$9,IF(N141="B",M141*+Lookups!B$10,IF(N141="S",M141*2,IF(AND(M141=0,O141&gt;0),O141,"ERROR"))))))))</f>
        <v>0</v>
      </c>
      <c r="Q141" s="149" t="str">
        <f>IF(OR(AND(P141=0,H141=0),O141&gt;0),"",IF(AND(I141="W",N141="W"),ROUND(P141-(H141*Lookups!$B$9),0),ROUND(+P141-L141,0)))</f>
        <v/>
      </c>
      <c r="R141" s="91" t="str">
        <f t="shared" si="42"/>
        <v/>
      </c>
      <c r="S141" s="24"/>
      <c r="T141" s="179" t="str">
        <f t="shared" si="39"/>
        <v/>
      </c>
      <c r="U141" s="175">
        <f t="shared" si="40"/>
        <v>0</v>
      </c>
      <c r="V141" s="175">
        <f t="shared" si="36"/>
        <v>0</v>
      </c>
      <c r="W141" s="13" t="str">
        <f t="shared" si="41"/>
        <v/>
      </c>
      <c r="X141" s="13"/>
      <c r="Y141" s="140"/>
      <c r="Z141" s="67"/>
    </row>
    <row r="142" spans="1:30" x14ac:dyDescent="0.35">
      <c r="B142" s="28" t="s">
        <v>164</v>
      </c>
      <c r="C142" s="4" t="s">
        <v>165</v>
      </c>
      <c r="D142" s="24">
        <v>91</v>
      </c>
      <c r="E142" s="22">
        <v>364</v>
      </c>
      <c r="F142" s="13">
        <v>161</v>
      </c>
      <c r="G142" s="27">
        <f t="shared" si="37"/>
        <v>161</v>
      </c>
      <c r="H142" s="22">
        <v>8</v>
      </c>
      <c r="I142" s="26" t="s">
        <v>43</v>
      </c>
      <c r="J142" s="13">
        <v>215</v>
      </c>
      <c r="K142" s="13"/>
      <c r="L142" s="27">
        <f>IF(I142="",0,IF(K142&gt;0,0,IF(I142="A",H142,IF(I142="M",H142*12,IF(I142="W",H142*(Lookups!$B$9+1),IF(I142="B",H142*(+Lookups!$B$10),IF(I142="S",H142*2,IF(AND(H142=0,K142&gt;0),K142,"ERROR"))))))))</f>
        <v>424</v>
      </c>
      <c r="M142" s="22">
        <v>9</v>
      </c>
      <c r="N142" s="26" t="s">
        <v>43</v>
      </c>
      <c r="O142" s="13"/>
      <c r="P142" s="172">
        <f>IF(M142="",0,IF(O142&gt;0,0,IF(N142="A",M142,IF(N142="M",M142*12,IF(N142="W",M142*Lookups!B$9,IF(N142="B",M142*+Lookups!B$10,IF(N142="S",M142*2,IF(AND(M142=0,O142&gt;0),O142,"ERROR"))))))))</f>
        <v>468</v>
      </c>
      <c r="Q142" s="149">
        <f>IF(OR(AND(P142=0,H142=0),O142&gt;0),"",IF(AND(I142="W",N142="W"),ROUND(P142-(H142*Lookups!$B$9),0),ROUND(+P142-L142,0)))</f>
        <v>52</v>
      </c>
      <c r="R142" s="91" t="str">
        <f t="shared" si="42"/>
        <v>I</v>
      </c>
      <c r="S142" s="24"/>
      <c r="T142" s="179" t="str">
        <f t="shared" si="39"/>
        <v/>
      </c>
      <c r="U142" s="175">
        <f t="shared" si="40"/>
        <v>0</v>
      </c>
      <c r="V142" s="175" t="str">
        <f t="shared" si="36"/>
        <v/>
      </c>
      <c r="W142" s="13" t="str">
        <f t="shared" si="41"/>
        <v/>
      </c>
      <c r="X142" s="13"/>
      <c r="Y142" s="140"/>
      <c r="Z142" s="67" t="s">
        <v>476</v>
      </c>
      <c r="AA142" s="68" t="s">
        <v>477</v>
      </c>
      <c r="AB142" s="68" t="s">
        <v>426</v>
      </c>
      <c r="AC142" s="69" t="s">
        <v>403</v>
      </c>
      <c r="AD142" s="70">
        <v>53406</v>
      </c>
    </row>
    <row r="143" spans="1:30" ht="29" x14ac:dyDescent="0.35">
      <c r="B143" s="166" t="s">
        <v>166</v>
      </c>
      <c r="C143" s="4" t="s">
        <v>167</v>
      </c>
      <c r="D143" s="24">
        <v>3450</v>
      </c>
      <c r="E143" s="22">
        <v>3600</v>
      </c>
      <c r="F143" s="13">
        <v>2700</v>
      </c>
      <c r="G143" s="27">
        <f t="shared" si="37"/>
        <v>3600</v>
      </c>
      <c r="H143" s="22">
        <v>300</v>
      </c>
      <c r="I143" s="26" t="s">
        <v>44</v>
      </c>
      <c r="J143" s="13">
        <v>3600</v>
      </c>
      <c r="K143" s="13"/>
      <c r="L143" s="27">
        <f>IF(I143="",0,IF(K143&gt;0,0,IF(I143="A",H143,IF(I143="M",H143*12,IF(I143="W",H143*(Lookups!$B$9+1),IF(I143="B",H143*(+Lookups!$B$10),IF(I143="S",H143*2,IF(AND(H143=0,K143&gt;0),K143,"ERROR"))))))))</f>
        <v>3600</v>
      </c>
      <c r="M143" s="22">
        <v>300</v>
      </c>
      <c r="N143" s="26" t="s">
        <v>44</v>
      </c>
      <c r="O143" s="13"/>
      <c r="P143" s="27">
        <f>IF(M143="",0,IF(O143&gt;0,0,IF(N143="A",M143,IF(N143="M",M143*12,IF(N143="W",M143*Lookups!B$9,IF(N143="B",M143*+Lookups!B$10,IF(N143="S",M143*2,IF(AND(M143=0,O143&gt;0),O143,"ERROR"))))))))</f>
        <v>3600</v>
      </c>
      <c r="Q143" s="149">
        <f>IF(OR(AND(P143=0,H143=0),O143&gt;0),"",IF(AND(I143="W",N143="W"),ROUND(P143-(H143*Lookups!$B$9),0),ROUND(+P143-L143,0)))</f>
        <v>0</v>
      </c>
      <c r="R143" s="91" t="str">
        <f t="shared" si="42"/>
        <v>S</v>
      </c>
      <c r="S143" s="24">
        <v>600</v>
      </c>
      <c r="T143" s="179">
        <f t="shared" si="39"/>
        <v>0</v>
      </c>
      <c r="U143" s="175" t="str">
        <f t="shared" si="40"/>
        <v/>
      </c>
      <c r="V143" s="175" t="str">
        <f t="shared" si="36"/>
        <v/>
      </c>
      <c r="W143" s="13" t="str">
        <f t="shared" si="41"/>
        <v/>
      </c>
      <c r="X143" s="13"/>
      <c r="Y143" s="145" t="s">
        <v>591</v>
      </c>
      <c r="Z143" s="67" t="s">
        <v>589</v>
      </c>
      <c r="AA143" s="68" t="s">
        <v>590</v>
      </c>
      <c r="AB143" s="68" t="s">
        <v>426</v>
      </c>
      <c r="AC143" s="69" t="s">
        <v>403</v>
      </c>
      <c r="AD143" s="70">
        <v>53405</v>
      </c>
    </row>
    <row r="144" spans="1:30" x14ac:dyDescent="0.35">
      <c r="B144" s="28" t="s">
        <v>168</v>
      </c>
      <c r="C144" s="4" t="s">
        <v>302</v>
      </c>
      <c r="D144" s="24">
        <v>40</v>
      </c>
      <c r="E144" s="22"/>
      <c r="F144" s="13">
        <v>40</v>
      </c>
      <c r="G144" s="27">
        <f t="shared" si="37"/>
        <v>40</v>
      </c>
      <c r="H144" s="22"/>
      <c r="I144" s="26"/>
      <c r="J144" s="13">
        <v>40</v>
      </c>
      <c r="K144" s="13"/>
      <c r="L144" s="27">
        <f>IF(I144="",0,IF(K144&gt;0,0,IF(I144="A",H144,IF(I144="M",H144*12,IF(I144="W",H144*(Lookups!$B$9+1),IF(I144="B",H144*(+Lookups!$B$10),IF(I144="S",H144*2,IF(AND(H144=0,K144&gt;0),K144,"ERROR"))))))))</f>
        <v>0</v>
      </c>
      <c r="M144" s="22"/>
      <c r="N144" s="26"/>
      <c r="O144" s="13"/>
      <c r="P144" s="27">
        <f>IF(M144="",0,IF(O144&gt;0,0,IF(N144="A",M144,IF(N144="M",M144*12,IF(N144="W",M144*Lookups!B$9,IF(N144="B",M144*+Lookups!B$10,IF(N144="S",M144*2,IF(AND(M144=0,O144&gt;0),O144,"ERROR"))))))))</f>
        <v>0</v>
      </c>
      <c r="Q144" s="149" t="str">
        <f>IF(OR(AND(P144=0,H144=0),O144&gt;0),"",IF(AND(I144="W",N144="W"),ROUND(P144-(H144*Lookups!$B$9),0),ROUND(+P144-L144,0)))</f>
        <v/>
      </c>
      <c r="R144" s="91" t="str">
        <f t="shared" si="42"/>
        <v/>
      </c>
      <c r="S144" s="24"/>
      <c r="T144" s="179" t="str">
        <f t="shared" si="39"/>
        <v/>
      </c>
      <c r="U144" s="175">
        <f t="shared" si="40"/>
        <v>0</v>
      </c>
      <c r="V144" s="175" t="str">
        <f t="shared" si="36"/>
        <v/>
      </c>
      <c r="W144" s="13" t="str">
        <f t="shared" si="41"/>
        <v/>
      </c>
      <c r="X144" s="13"/>
      <c r="Y144" s="140"/>
    </row>
    <row r="145" spans="1:30" x14ac:dyDescent="0.35">
      <c r="B145" s="28" t="s">
        <v>168</v>
      </c>
      <c r="C145" s="4" t="s">
        <v>478</v>
      </c>
      <c r="D145" s="24">
        <v>4900</v>
      </c>
      <c r="E145" s="22">
        <v>5040</v>
      </c>
      <c r="F145" s="13">
        <v>3825</v>
      </c>
      <c r="G145" s="27">
        <f t="shared" si="37"/>
        <v>5040</v>
      </c>
      <c r="H145" s="22">
        <v>420</v>
      </c>
      <c r="I145" s="26" t="s">
        <v>44</v>
      </c>
      <c r="J145" s="13">
        <v>5110</v>
      </c>
      <c r="K145" s="13"/>
      <c r="L145" s="27">
        <f>IF(I145="",0,IF(K145&gt;0,0,IF(I145="A",H145,IF(I145="M",H145*12,IF(I145="W",H145*(Lookups!$B$9+1),IF(I145="B",H145*(+Lookups!$B$10),IF(I145="S",H145*2,IF(AND(H145=0,K145&gt;0),K145,"ERROR"))))))))</f>
        <v>5040</v>
      </c>
      <c r="M145" s="22">
        <v>430</v>
      </c>
      <c r="N145" s="26" t="s">
        <v>44</v>
      </c>
      <c r="O145" s="13"/>
      <c r="P145" s="27">
        <f>IF(M145="",0,IF(O145&gt;0,0,IF(N145="A",M145,IF(N145="M",M145*12,IF(N145="W",M145*Lookups!B$9,IF(N145="B",M145*+Lookups!B$10,IF(N145="S",M145*2,IF(AND(M145=0,O145&gt;0),O145,"ERROR"))))))))</f>
        <v>5160</v>
      </c>
      <c r="Q145" s="149">
        <f>IF(OR(AND(P145=0,H145=0),O145&gt;0),"",IF(AND(I145="W",N145="W"),ROUND(P145-(H145*Lookups!$B$9),0),ROUND(+P145-L145,0)))</f>
        <v>120</v>
      </c>
      <c r="R145" s="91" t="str">
        <f t="shared" si="42"/>
        <v>I</v>
      </c>
      <c r="S145" s="24">
        <v>860</v>
      </c>
      <c r="T145" s="179">
        <f t="shared" si="39"/>
        <v>0</v>
      </c>
      <c r="U145" s="175" t="str">
        <f t="shared" si="40"/>
        <v/>
      </c>
      <c r="V145" s="175" t="str">
        <f t="shared" si="36"/>
        <v/>
      </c>
      <c r="W145" s="13">
        <f t="shared" si="41"/>
        <v>5160</v>
      </c>
      <c r="X145" s="13">
        <v>84</v>
      </c>
      <c r="Y145" s="140"/>
      <c r="Z145" s="67" t="s">
        <v>479</v>
      </c>
      <c r="AA145" s="68" t="s">
        <v>480</v>
      </c>
      <c r="AB145" s="68" t="s">
        <v>420</v>
      </c>
      <c r="AC145" s="69" t="s">
        <v>403</v>
      </c>
      <c r="AD145" s="70">
        <v>53108</v>
      </c>
    </row>
    <row r="146" spans="1:30" x14ac:dyDescent="0.35">
      <c r="A146" s="157" t="s">
        <v>650</v>
      </c>
      <c r="B146" s="28" t="s">
        <v>168</v>
      </c>
      <c r="C146" s="4" t="s">
        <v>303</v>
      </c>
      <c r="D146" s="24">
        <v>1560</v>
      </c>
      <c r="E146" s="22"/>
      <c r="F146" s="13"/>
      <c r="G146" s="27">
        <f t="shared" si="37"/>
        <v>0</v>
      </c>
      <c r="H146" s="22"/>
      <c r="I146" s="26"/>
      <c r="J146" s="13"/>
      <c r="K146" s="13"/>
      <c r="L146" s="27">
        <f>IF(I146="",0,IF(K146&gt;0,0,IF(I146="A",H146,IF(I146="M",H146*12,IF(I146="W",H146*(Lookups!$B$9+1),IF(I146="B",H146*(+Lookups!$B$10),IF(I146="S",H146*2,IF(AND(H146=0,K146&gt;0),K146,"ERROR"))))))))</f>
        <v>0</v>
      </c>
      <c r="M146" s="22"/>
      <c r="N146" s="26"/>
      <c r="O146" s="13"/>
      <c r="P146" s="27">
        <f>IF(M146="",0,IF(O146&gt;0,0,IF(N146="A",M146,IF(N146="M",M146*12,IF(N146="W",M146*Lookups!B$9,IF(N146="B",M146*+Lookups!B$10,IF(N146="S",M146*2,IF(AND(M146=0,O146&gt;0),O146,"ERROR"))))))))</f>
        <v>0</v>
      </c>
      <c r="Q146" s="149" t="str">
        <f>IF(OR(AND(P146=0,H146=0),O146&gt;0),"",IF(AND(I146="W",N146="W"),ROUND(P146-(H146*Lookups!$B$9),0),ROUND(+P146-L146,0)))</f>
        <v/>
      </c>
      <c r="R146" s="91" t="str">
        <f t="shared" si="42"/>
        <v/>
      </c>
      <c r="S146" s="24"/>
      <c r="T146" s="179" t="str">
        <f t="shared" si="39"/>
        <v/>
      </c>
      <c r="U146" s="175" t="str">
        <f t="shared" si="40"/>
        <v/>
      </c>
      <c r="V146" s="175" t="str">
        <f t="shared" si="36"/>
        <v/>
      </c>
      <c r="W146" s="13" t="str">
        <f t="shared" si="41"/>
        <v/>
      </c>
      <c r="X146" s="13"/>
      <c r="Y146" s="140"/>
    </row>
    <row r="147" spans="1:30" x14ac:dyDescent="0.35">
      <c r="A147" s="157" t="s">
        <v>650</v>
      </c>
      <c r="B147" s="28" t="s">
        <v>168</v>
      </c>
      <c r="C147" s="4" t="s">
        <v>304</v>
      </c>
      <c r="D147" s="24">
        <v>240</v>
      </c>
      <c r="E147" s="22"/>
      <c r="F147" s="13">
        <v>20</v>
      </c>
      <c r="G147" s="27">
        <f t="shared" si="37"/>
        <v>20</v>
      </c>
      <c r="H147" s="22"/>
      <c r="I147" s="26"/>
      <c r="J147" s="13"/>
      <c r="K147" s="13"/>
      <c r="L147" s="27">
        <f>IF(I147="",0,IF(K147&gt;0,0,IF(I147="A",H147,IF(I147="M",H147*12,IF(I147="W",H147*(Lookups!$B$9+1),IF(I147="B",H147*(+Lookups!$B$10),IF(I147="S",H147*2,IF(AND(H147=0,K147&gt;0),K147,"ERROR"))))))))</f>
        <v>0</v>
      </c>
      <c r="M147" s="22"/>
      <c r="N147" s="26"/>
      <c r="O147" s="13"/>
      <c r="P147" s="27">
        <f>IF(M147="",0,IF(O147&gt;0,0,IF(N147="A",M147,IF(N147="M",M147*12,IF(N147="W",M147*Lookups!B$9,IF(N147="B",M147*+Lookups!B$10,IF(N147="S",M147*2,IF(AND(M147=0,O147&gt;0),O147,"ERROR"))))))))</f>
        <v>0</v>
      </c>
      <c r="Q147" s="149" t="str">
        <f>IF(OR(AND(P147=0,H147=0),O147&gt;0),"",IF(AND(I147="W",N147="W"),ROUND(P147-(H147*Lookups!$B$9),0),ROUND(+P147-L147,0)))</f>
        <v/>
      </c>
      <c r="R147" s="91" t="str">
        <f t="shared" si="42"/>
        <v/>
      </c>
      <c r="S147" s="24"/>
      <c r="T147" s="179" t="str">
        <f t="shared" si="39"/>
        <v/>
      </c>
      <c r="U147" s="175" t="str">
        <f t="shared" si="40"/>
        <v/>
      </c>
      <c r="V147" s="175" t="str">
        <f t="shared" si="36"/>
        <v/>
      </c>
      <c r="W147" s="13" t="str">
        <f t="shared" si="41"/>
        <v/>
      </c>
      <c r="X147" s="13"/>
      <c r="Y147" s="140"/>
    </row>
    <row r="148" spans="1:30" x14ac:dyDescent="0.35">
      <c r="B148" s="28" t="s">
        <v>662</v>
      </c>
      <c r="C148" s="4" t="s">
        <v>663</v>
      </c>
      <c r="D148" s="24">
        <v>0</v>
      </c>
      <c r="E148" s="22"/>
      <c r="F148" s="13"/>
      <c r="G148" s="27">
        <f t="shared" ref="G148" si="43">IF(E148=0,F148,IF(AND(F148=0,J148="A"),E148,IF(F148&gt;E148,F148, IF(F148/E148&gt;0.73,E148,F148))))</f>
        <v>0</v>
      </c>
      <c r="H148" s="22"/>
      <c r="I148" s="26"/>
      <c r="J148" s="13">
        <v>500</v>
      </c>
      <c r="K148" s="13"/>
      <c r="L148" s="27">
        <f>IF(I148="",0,IF(K148&gt;0,0,IF(I148="A",H148,IF(I148="M",H148*12,IF(I148="W",H148*(Lookups!$B$9+1),IF(I148="B",H148*(+Lookups!$B$10),IF(I148="S",H148*2,IF(AND(H148=0,K148&gt;0),K148,"ERROR"))))))))</f>
        <v>0</v>
      </c>
      <c r="M148" s="22"/>
      <c r="N148" s="26"/>
      <c r="O148" s="13">
        <v>500</v>
      </c>
      <c r="P148" s="27">
        <f>IF(M148="",0,IF(O148&gt;0,0,IF(N148="A",M148,IF(N148="M",M148*12,IF(N148="W",M148*Lookups!B$9,IF(N148="B",M148*+Lookups!B$10,IF(N148="S",M148*2,IF(AND(M148=0,O148&gt;0),O148,"ERROR"))))))))</f>
        <v>0</v>
      </c>
      <c r="Q148" s="149" t="str">
        <f>IF(OR(AND(P148=0,H148=0),O148&gt;0),"",IF(AND(I148="W",N148="W"),ROUND(P148-(H148*Lookups!$B$9),0),ROUND(+P148-L148,0)))</f>
        <v/>
      </c>
      <c r="R148" s="91" t="str">
        <f t="shared" ref="R148" si="44">IF(AND(O148&gt;0,J148&gt;0),"E",IF(Q148="","",IF(Q148=0,"S",IF(AND(Q148&gt;0,NOT(H148=0)),"I",IF(AND(Q148&gt;0,H148=0),"N",IF(Q148&lt;0,"D","ERROR"))))))</f>
        <v>E</v>
      </c>
      <c r="S148" s="24">
        <v>500</v>
      </c>
      <c r="T148" s="179">
        <f t="shared" si="39"/>
        <v>500</v>
      </c>
      <c r="U148" s="175" t="str">
        <f t="shared" si="40"/>
        <v/>
      </c>
      <c r="V148" s="175" t="str">
        <f t="shared" si="36"/>
        <v/>
      </c>
      <c r="W148" s="13" t="str">
        <f t="shared" si="41"/>
        <v/>
      </c>
      <c r="X148" s="13"/>
      <c r="Y148" s="140"/>
    </row>
    <row r="149" spans="1:30" x14ac:dyDescent="0.35">
      <c r="A149" s="157" t="s">
        <v>650</v>
      </c>
      <c r="B149" s="28" t="s">
        <v>305</v>
      </c>
      <c r="C149" s="4" t="s">
        <v>306</v>
      </c>
      <c r="D149" s="24">
        <v>200</v>
      </c>
      <c r="E149" s="22"/>
      <c r="F149" s="13"/>
      <c r="G149" s="27">
        <f t="shared" si="37"/>
        <v>0</v>
      </c>
      <c r="H149" s="22"/>
      <c r="I149" s="26"/>
      <c r="J149" s="13"/>
      <c r="K149" s="13"/>
      <c r="L149" s="27">
        <f>IF(I149="",0,IF(K149&gt;0,0,IF(I149="A",H149,IF(I149="M",H149*12,IF(I149="W",H149*(Lookups!$B$9+1),IF(I149="B",H149*(+Lookups!$B$10),IF(I149="S",H149*2,IF(AND(H149=0,K149&gt;0),K149,"ERROR"))))))))</f>
        <v>0</v>
      </c>
      <c r="M149" s="22"/>
      <c r="N149" s="26"/>
      <c r="O149" s="13"/>
      <c r="P149" s="27">
        <f>IF(M149="",0,IF(O149&gt;0,0,IF(N149="A",M149,IF(N149="M",M149*12,IF(N149="W",M149*Lookups!B$9,IF(N149="B",M149*+Lookups!B$10,IF(N149="S",M149*2,IF(AND(M149=0,O149&gt;0),O149,"ERROR"))))))))</f>
        <v>0</v>
      </c>
      <c r="Q149" s="149" t="str">
        <f>IF(OR(AND(P149=0,H149=0),O149&gt;0),"",IF(AND(I149="W",N149="W"),ROUND(P149-(H149*Lookups!$B$9),0),ROUND(+P149-L149,0)))</f>
        <v/>
      </c>
      <c r="R149" s="91" t="str">
        <f t="shared" si="42"/>
        <v/>
      </c>
      <c r="S149" s="24"/>
      <c r="T149" s="179" t="str">
        <f t="shared" si="39"/>
        <v/>
      </c>
      <c r="U149" s="175" t="str">
        <f t="shared" si="40"/>
        <v/>
      </c>
      <c r="V149" s="175" t="str">
        <f t="shared" si="36"/>
        <v/>
      </c>
      <c r="W149" s="13" t="str">
        <f t="shared" si="41"/>
        <v/>
      </c>
      <c r="X149" s="13"/>
      <c r="Y149" s="140"/>
    </row>
    <row r="150" spans="1:30" x14ac:dyDescent="0.35">
      <c r="B150" s="166" t="s">
        <v>307</v>
      </c>
      <c r="C150" s="4" t="s">
        <v>308</v>
      </c>
      <c r="D150" s="24">
        <v>3000</v>
      </c>
      <c r="E150" s="22"/>
      <c r="F150" s="13">
        <v>4000</v>
      </c>
      <c r="G150" s="27">
        <f t="shared" si="37"/>
        <v>4000</v>
      </c>
      <c r="H150" s="22">
        <v>3000</v>
      </c>
      <c r="I150" s="26" t="s">
        <v>40</v>
      </c>
      <c r="J150" s="13">
        <v>5000</v>
      </c>
      <c r="K150" s="13"/>
      <c r="L150" s="27">
        <f>IF(I150="",0,IF(K150&gt;0,0,IF(I150="A",H150,IF(I150="M",H150*12,IF(I150="W",H150*(Lookups!$B$9+1),IF(I150="B",H150*(+Lookups!$B$10),IF(I150="S",H150*2,IF(AND(H150=0,K150&gt;0),K150,"ERROR"))))))))</f>
        <v>3000</v>
      </c>
      <c r="M150" s="22"/>
      <c r="N150" s="26"/>
      <c r="O150" s="13">
        <v>5000</v>
      </c>
      <c r="P150" s="27">
        <f>IF(M150="",0,IF(O150&gt;0,0,IF(N150="A",M150,IF(N150="M",M150*12,IF(N150="W",M150*Lookups!B$9,IF(N150="B",M150*+Lookups!B$10,IF(N150="S",M150*2,IF(AND(M150=0,O150&gt;0),O150,"ERROR"))))))))</f>
        <v>0</v>
      </c>
      <c r="Q150" s="149" t="str">
        <f>IF(OR(AND(P150=0,H150=0),O150&gt;0),"",IF(AND(I150="W",N150="W"),ROUND(P150-(H150*Lookups!$B$9),0),ROUND(+P150-L150,0)))</f>
        <v/>
      </c>
      <c r="R150" s="91" t="str">
        <f t="shared" si="42"/>
        <v>E</v>
      </c>
      <c r="S150" s="24"/>
      <c r="T150" s="179" t="str">
        <f t="shared" si="39"/>
        <v/>
      </c>
      <c r="U150" s="175">
        <f t="shared" si="40"/>
        <v>5000</v>
      </c>
      <c r="V150" s="175" t="str">
        <f t="shared" si="36"/>
        <v/>
      </c>
      <c r="W150" s="13">
        <f>+O150</f>
        <v>5000</v>
      </c>
      <c r="X150" s="13">
        <v>83</v>
      </c>
      <c r="Y150" s="140"/>
      <c r="Z150" s="72" t="s">
        <v>400</v>
      </c>
      <c r="AA150" s="68" t="s">
        <v>401</v>
      </c>
      <c r="AB150" s="68" t="s">
        <v>402</v>
      </c>
      <c r="AC150" s="69" t="s">
        <v>403</v>
      </c>
      <c r="AD150" s="70">
        <v>53406</v>
      </c>
    </row>
    <row r="151" spans="1:30" x14ac:dyDescent="0.35">
      <c r="B151" s="166" t="s">
        <v>309</v>
      </c>
      <c r="C151" s="4" t="s">
        <v>310</v>
      </c>
      <c r="D151" s="24">
        <v>200</v>
      </c>
      <c r="E151" s="22"/>
      <c r="F151" s="13">
        <v>150</v>
      </c>
      <c r="G151" s="27">
        <f t="shared" si="37"/>
        <v>150</v>
      </c>
      <c r="H151" s="22"/>
      <c r="I151" s="26"/>
      <c r="J151" s="13">
        <v>200</v>
      </c>
      <c r="K151" s="13"/>
      <c r="L151" s="27">
        <f>IF(I151="",0,IF(K151&gt;0,0,IF(I151="A",H151,IF(I151="M",H151*12,IF(I151="W",H151*(Lookups!$B$9+1),IF(I151="B",H151*(+Lookups!$B$10),IF(I151="S",H151*2,IF(AND(H151=0,K151&gt;0),K151,"ERROR"))))))))</f>
        <v>0</v>
      </c>
      <c r="M151" s="22"/>
      <c r="N151" s="26"/>
      <c r="O151" s="13"/>
      <c r="P151" s="27">
        <f>IF(M151="",0,IF(O151&gt;0,0,IF(N151="A",M151,IF(N151="M",M151*12,IF(N151="W",M151*Lookups!B$9,IF(N151="B",M151*+Lookups!B$10,IF(N151="S",M151*2,IF(AND(M151=0,O151&gt;0),O151,"ERROR"))))))))</f>
        <v>0</v>
      </c>
      <c r="Q151" s="149" t="str">
        <f>IF(OR(AND(P151=0,H151=0),O151&gt;0),"",IF(AND(I151="W",N151="W"),ROUND(P151-(H151*Lookups!$B$9),0),ROUND(+P151-L151,0)))</f>
        <v/>
      </c>
      <c r="R151" s="91" t="str">
        <f t="shared" si="42"/>
        <v/>
      </c>
      <c r="S151" s="24"/>
      <c r="T151" s="179" t="str">
        <f t="shared" si="39"/>
        <v/>
      </c>
      <c r="U151" s="175">
        <f t="shared" si="40"/>
        <v>0</v>
      </c>
      <c r="V151" s="175" t="str">
        <f t="shared" si="36"/>
        <v/>
      </c>
      <c r="W151" s="13" t="str">
        <f t="shared" ref="W151:W198" si="45">IF(X151="","",P151)</f>
        <v/>
      </c>
      <c r="X151" s="13"/>
      <c r="Y151" s="140"/>
    </row>
    <row r="152" spans="1:30" x14ac:dyDescent="0.35">
      <c r="B152" s="166" t="s">
        <v>311</v>
      </c>
      <c r="C152" s="4" t="s">
        <v>312</v>
      </c>
      <c r="D152" s="24">
        <v>4000</v>
      </c>
      <c r="E152" s="22"/>
      <c r="F152" s="13">
        <v>150</v>
      </c>
      <c r="G152" s="27">
        <f t="shared" si="37"/>
        <v>150</v>
      </c>
      <c r="H152" s="22"/>
      <c r="I152" s="26"/>
      <c r="J152" s="13">
        <v>2600</v>
      </c>
      <c r="K152" s="13"/>
      <c r="L152" s="27">
        <f>IF(I152="",0,IF(K152&gt;0,0,IF(I152="A",H152,IF(I152="M",H152*12,IF(I152="W",H152*(Lookups!$B$9+1),IF(I152="B",H152*(+Lookups!$B$10),IF(I152="S",H152*2,IF(AND(H152=0,K152&gt;0),K152,"ERROR"))))))))</f>
        <v>0</v>
      </c>
      <c r="M152" s="22">
        <v>50</v>
      </c>
      <c r="N152" s="26" t="s">
        <v>43</v>
      </c>
      <c r="O152" s="13"/>
      <c r="P152" s="27">
        <f>IF(M152="",0,IF(O152&gt;0,0,IF(N152="A",M152,IF(N152="M",M152*12,IF(N152="W",M152*Lookups!B$9,IF(N152="B",M152*+Lookups!B$10,IF(N152="S",M152*2,IF(AND(M152=0,O152&gt;0),O152,"ERROR"))))))))</f>
        <v>2600</v>
      </c>
      <c r="Q152" s="149">
        <f>IF(OR(AND(P152=0,H152=0),O152&gt;0),"",IF(AND(I152="W",N152="W"),ROUND(P152-(H152*Lookups!$B$9),0),ROUND(+P152-L152,0)))</f>
        <v>2600</v>
      </c>
      <c r="R152" s="91" t="str">
        <f t="shared" si="42"/>
        <v>N</v>
      </c>
      <c r="S152" s="24">
        <v>350</v>
      </c>
      <c r="T152" s="179">
        <f t="shared" si="39"/>
        <v>0</v>
      </c>
      <c r="U152" s="175" t="str">
        <f t="shared" si="40"/>
        <v/>
      </c>
      <c r="V152" s="175" t="str">
        <f t="shared" si="36"/>
        <v/>
      </c>
      <c r="W152" s="13" t="str">
        <f t="shared" si="45"/>
        <v/>
      </c>
      <c r="X152" s="13"/>
      <c r="Y152" s="140"/>
      <c r="Z152" s="67" t="s">
        <v>592</v>
      </c>
      <c r="AA152" s="68" t="s">
        <v>598</v>
      </c>
      <c r="AB152" s="68" t="s">
        <v>426</v>
      </c>
      <c r="AC152" s="69" t="s">
        <v>403</v>
      </c>
      <c r="AD152" s="70">
        <v>53403</v>
      </c>
    </row>
    <row r="153" spans="1:30" x14ac:dyDescent="0.35">
      <c r="B153" s="166" t="s">
        <v>169</v>
      </c>
      <c r="C153" s="4" t="s">
        <v>170</v>
      </c>
      <c r="D153" s="24">
        <v>6725</v>
      </c>
      <c r="E153" s="22">
        <v>7200</v>
      </c>
      <c r="F153" s="13">
        <v>5850</v>
      </c>
      <c r="G153" s="27">
        <f t="shared" si="37"/>
        <v>7200</v>
      </c>
      <c r="H153" s="22">
        <v>125</v>
      </c>
      <c r="I153" s="26" t="s">
        <v>43</v>
      </c>
      <c r="J153" s="13">
        <v>8075</v>
      </c>
      <c r="K153" s="13"/>
      <c r="L153" s="27">
        <f>IF(I153="",0,IF(K153&gt;0,0,IF(I153="A",H153,IF(I153="M",H153*12,IF(I153="W",H153*(Lookups!$B$9+1),IF(I153="B",H153*(+Lookups!$B$10),IF(I153="S",H153*2,IF(AND(H153=0,K153&gt;0),K153,"ERROR"))))))))</f>
        <v>6625</v>
      </c>
      <c r="M153" s="22">
        <v>175</v>
      </c>
      <c r="N153" s="26" t="s">
        <v>43</v>
      </c>
      <c r="O153" s="13"/>
      <c r="P153" s="27">
        <f>IF(M153="",0,IF(O153&gt;0,0,IF(N153="A",M153,IF(N153="M",M153*12,IF(N153="W",M153*Lookups!B$9,IF(N153="B",M153*+Lookups!B$10,IF(N153="S",M153*2,IF(AND(M153=0,O153&gt;0),O153,"ERROR"))))))))</f>
        <v>9100</v>
      </c>
      <c r="Q153" s="149">
        <f>IF(OR(AND(P153=0,H153=0),O153&gt;0),"",IF(AND(I153="W",N153="W"),ROUND(P153-(H153*Lookups!$B$9),0),ROUND(+P153-L153,0)))</f>
        <v>2600</v>
      </c>
      <c r="R153" s="91" t="str">
        <f t="shared" si="42"/>
        <v>I</v>
      </c>
      <c r="S153" s="24">
        <v>1400</v>
      </c>
      <c r="T153" s="179">
        <f t="shared" si="39"/>
        <v>0</v>
      </c>
      <c r="U153" s="175" t="str">
        <f t="shared" si="40"/>
        <v/>
      </c>
      <c r="V153" s="175" t="str">
        <f t="shared" si="36"/>
        <v/>
      </c>
      <c r="W153" s="13">
        <f t="shared" si="45"/>
        <v>9100</v>
      </c>
      <c r="X153" s="13">
        <v>88</v>
      </c>
      <c r="Y153" s="140"/>
      <c r="Z153" s="67" t="s">
        <v>481</v>
      </c>
      <c r="AA153" s="68" t="s">
        <v>482</v>
      </c>
      <c r="AB153" s="68" t="s">
        <v>402</v>
      </c>
      <c r="AC153" s="69" t="s">
        <v>403</v>
      </c>
      <c r="AD153" s="70">
        <v>53406</v>
      </c>
    </row>
    <row r="154" spans="1:30" x14ac:dyDescent="0.35">
      <c r="B154" s="166" t="s">
        <v>169</v>
      </c>
      <c r="C154" s="4" t="s">
        <v>171</v>
      </c>
      <c r="D154" s="24">
        <v>2323</v>
      </c>
      <c r="E154" s="22">
        <v>2340</v>
      </c>
      <c r="F154" s="13">
        <v>1750</v>
      </c>
      <c r="G154" s="27">
        <f t="shared" si="37"/>
        <v>2340</v>
      </c>
      <c r="H154" s="22">
        <v>50</v>
      </c>
      <c r="I154" s="26" t="s">
        <v>43</v>
      </c>
      <c r="J154" s="13">
        <v>2560</v>
      </c>
      <c r="K154" s="13"/>
      <c r="L154" s="27">
        <f>IF(I154="",0,IF(K154&gt;0,0,IF(I154="A",H154,IF(I154="M",H154*12,IF(I154="W",H154*(Lookups!$B$9+1),IF(I154="B",H154*(+Lookups!$B$10),IF(I154="S",H154*2,IF(AND(H154=0,K154&gt;0),K154,"ERROR"))))))))</f>
        <v>2650</v>
      </c>
      <c r="M154" s="22">
        <v>60</v>
      </c>
      <c r="N154" s="26" t="s">
        <v>43</v>
      </c>
      <c r="O154" s="13"/>
      <c r="P154" s="27">
        <f>IF(M154="",0,IF(O154&gt;0,0,IF(N154="A",M154,IF(N154="M",M154*12,IF(N154="W",M154*Lookups!B$9,IF(N154="B",M154*+Lookups!B$10,IF(N154="S",M154*2,IF(AND(M154=0,O154&gt;0),O154,"ERROR"))))))))</f>
        <v>3120</v>
      </c>
      <c r="Q154" s="149">
        <f>IF(OR(AND(P154=0,H154=0),O154&gt;0),"",IF(AND(I154="W",N154="W"),ROUND(P154-(H154*Lookups!$B$9),0),ROUND(+P154-L154,0)))</f>
        <v>520</v>
      </c>
      <c r="R154" s="91" t="str">
        <f t="shared" si="42"/>
        <v>I</v>
      </c>
      <c r="S154" s="24">
        <v>485.07</v>
      </c>
      <c r="T154" s="179">
        <f t="shared" si="39"/>
        <v>0</v>
      </c>
      <c r="U154" s="175" t="str">
        <f t="shared" si="40"/>
        <v/>
      </c>
      <c r="V154" s="175" t="str">
        <f t="shared" si="36"/>
        <v/>
      </c>
      <c r="W154" s="13" t="str">
        <f t="shared" si="45"/>
        <v/>
      </c>
      <c r="X154" s="13"/>
      <c r="Y154" s="140"/>
      <c r="Z154" s="67" t="s">
        <v>483</v>
      </c>
      <c r="AA154" s="68" t="s">
        <v>484</v>
      </c>
      <c r="AB154" s="68" t="s">
        <v>402</v>
      </c>
      <c r="AC154" s="69" t="s">
        <v>403</v>
      </c>
      <c r="AD154" s="70">
        <v>53406</v>
      </c>
    </row>
    <row r="155" spans="1:30" x14ac:dyDescent="0.35">
      <c r="A155" s="157" t="s">
        <v>650</v>
      </c>
      <c r="B155" s="95" t="s">
        <v>313</v>
      </c>
      <c r="C155" s="96" t="s">
        <v>382</v>
      </c>
      <c r="D155" s="106"/>
      <c r="E155" s="98"/>
      <c r="F155" s="97">
        <v>1000</v>
      </c>
      <c r="G155" s="99">
        <f t="shared" si="37"/>
        <v>1000</v>
      </c>
      <c r="H155" s="98"/>
      <c r="I155" s="100"/>
      <c r="J155" s="97"/>
      <c r="K155" s="97"/>
      <c r="L155" s="99">
        <f>IF(I155="",0,IF(K155&gt;0,0,IF(I155="A",H155,IF(I155="M",H155*12,IF(I155="W",H155*(Lookups!$B$9+1),IF(I155="B",H155*(+Lookups!$B$10),IF(I155="S",H155*2,IF(AND(H155=0,K155&gt;0),K155,"ERROR"))))))))</f>
        <v>0</v>
      </c>
      <c r="M155" s="98"/>
      <c r="N155" s="100"/>
      <c r="O155" s="97"/>
      <c r="P155" s="99">
        <f>IF(M155="",0,IF(O155&gt;0,0,IF(N155="A",M155,IF(N155="M",M155*12,IF(N155="W",M155*Lookups!B$9,IF(N155="B",M155*+Lookups!B$10,IF(N155="S",M155*2,IF(AND(M155=0,O155&gt;0),O155,"ERROR"))))))))</f>
        <v>0</v>
      </c>
      <c r="Q155" s="101" t="str">
        <f>IF(OR(AND(P155=0,H155=0),O155&gt;0),"",IF(AND(I155="W",N155="W"),ROUND(P155-(H155*Lookups!$B$9),0),ROUND(+P155-L155,0)))</f>
        <v/>
      </c>
      <c r="R155" s="102" t="str">
        <f t="shared" si="42"/>
        <v/>
      </c>
      <c r="S155" s="106"/>
      <c r="T155" s="182" t="str">
        <f t="shared" si="39"/>
        <v/>
      </c>
      <c r="U155" s="178" t="str">
        <f t="shared" si="40"/>
        <v/>
      </c>
      <c r="V155" s="178">
        <f t="shared" si="36"/>
        <v>0</v>
      </c>
      <c r="W155" s="97" t="str">
        <f t="shared" si="45"/>
        <v/>
      </c>
      <c r="X155" s="97"/>
      <c r="Y155" s="143" t="s">
        <v>513</v>
      </c>
      <c r="Z155" s="103"/>
      <c r="AA155" s="103"/>
      <c r="AB155" s="103"/>
      <c r="AC155" s="104"/>
      <c r="AD155" s="105"/>
    </row>
    <row r="156" spans="1:30" x14ac:dyDescent="0.35">
      <c r="A156" s="157" t="s">
        <v>650</v>
      </c>
      <c r="B156" s="28" t="s">
        <v>313</v>
      </c>
      <c r="C156" s="4" t="s">
        <v>183</v>
      </c>
      <c r="D156" s="24">
        <v>275</v>
      </c>
      <c r="E156" s="22"/>
      <c r="F156" s="13"/>
      <c r="G156" s="27">
        <f t="shared" si="37"/>
        <v>0</v>
      </c>
      <c r="H156" s="22"/>
      <c r="I156" s="26"/>
      <c r="J156" s="13"/>
      <c r="K156" s="13"/>
      <c r="L156" s="27">
        <f>IF(I156="",0,IF(K156&gt;0,0,IF(I156="A",H156,IF(I156="M",H156*12,IF(I156="W",H156*(Lookups!$B$9+1),IF(I156="B",H156*(+Lookups!$B$10),IF(I156="S",H156*2,IF(AND(H156=0,K156&gt;0),K156,"ERROR"))))))))</f>
        <v>0</v>
      </c>
      <c r="M156" s="22"/>
      <c r="N156" s="26"/>
      <c r="O156" s="13"/>
      <c r="P156" s="27">
        <f>IF(M156="",0,IF(O156&gt;0,0,IF(N156="A",M156,IF(N156="M",M156*12,IF(N156="W",M156*Lookups!B$9,IF(N156="B",M156*+Lookups!B$10,IF(N156="S",M156*2,IF(AND(M156=0,O156&gt;0),O156,"ERROR"))))))))</f>
        <v>0</v>
      </c>
      <c r="Q156" s="149" t="str">
        <f>IF(OR(AND(P156=0,H156=0),O156&gt;0),"",IF(AND(I156="W",N156="W"),ROUND(P156-(H156*Lookups!$B$9),0),ROUND(+P156-L156,0)))</f>
        <v/>
      </c>
      <c r="R156" s="91" t="str">
        <f t="shared" si="42"/>
        <v/>
      </c>
      <c r="S156" s="24"/>
      <c r="T156" s="179" t="str">
        <f t="shared" si="39"/>
        <v/>
      </c>
      <c r="U156" s="175" t="str">
        <f t="shared" si="40"/>
        <v/>
      </c>
      <c r="V156" s="175" t="str">
        <f t="shared" si="36"/>
        <v/>
      </c>
      <c r="W156" s="13" t="str">
        <f t="shared" si="45"/>
        <v/>
      </c>
      <c r="X156" s="13"/>
      <c r="Y156" s="140"/>
    </row>
    <row r="157" spans="1:30" x14ac:dyDescent="0.35">
      <c r="B157" s="28" t="s">
        <v>172</v>
      </c>
      <c r="C157" s="4" t="s">
        <v>173</v>
      </c>
      <c r="D157" s="24">
        <v>960</v>
      </c>
      <c r="E157" s="22">
        <v>1200</v>
      </c>
      <c r="F157" s="13">
        <v>900</v>
      </c>
      <c r="G157" s="27">
        <f t="shared" si="37"/>
        <v>1200</v>
      </c>
      <c r="H157" s="22"/>
      <c r="I157" s="26" t="s">
        <v>44</v>
      </c>
      <c r="J157" s="13">
        <v>1200</v>
      </c>
      <c r="K157" s="13">
        <v>1200</v>
      </c>
      <c r="L157" s="27">
        <f>IF(I157="",0,IF(K157&gt;0,0,IF(I157="A",H157,IF(I157="M",H157*12,IF(I157="W",H157*(Lookups!$B$9+1),IF(I157="B",H157*(+Lookups!$B$10),IF(I157="S",H157*2,IF(AND(H157=0,K157&gt;0),K157,"ERROR"))))))))</f>
        <v>0</v>
      </c>
      <c r="M157" s="22"/>
      <c r="N157" s="26"/>
      <c r="O157" s="13">
        <f>100*12</f>
        <v>1200</v>
      </c>
      <c r="P157" s="27">
        <f>IF(M157="",0,IF(O157&gt;0,0,IF(N157="A",M157,IF(N157="M",M157*12,IF(N157="W",M157*Lookups!B$9,IF(N157="B",M157*+Lookups!B$10,IF(N157="S",M157*2,IF(AND(M157=0,O157&gt;0),O157,"ERROR"))))))))</f>
        <v>0</v>
      </c>
      <c r="Q157" s="149" t="str">
        <f>IF(OR(AND(P157=0,H157=0),O157&gt;0),"",IF(AND(I157="W",N157="W"),ROUND(P157-(H157*Lookups!$B$9),0),ROUND(+P157-L157,0)))</f>
        <v/>
      </c>
      <c r="R157" s="91" t="str">
        <f t="shared" si="42"/>
        <v>E</v>
      </c>
      <c r="S157" s="24">
        <v>200</v>
      </c>
      <c r="T157" s="179">
        <f t="shared" si="39"/>
        <v>1200</v>
      </c>
      <c r="U157" s="175" t="str">
        <f t="shared" si="40"/>
        <v/>
      </c>
      <c r="V157" s="175" t="str">
        <f t="shared" si="36"/>
        <v/>
      </c>
      <c r="W157" s="13" t="str">
        <f t="shared" si="45"/>
        <v/>
      </c>
      <c r="X157" s="13"/>
      <c r="Y157" s="140"/>
    </row>
    <row r="158" spans="1:30" x14ac:dyDescent="0.35">
      <c r="B158" s="28" t="s">
        <v>174</v>
      </c>
      <c r="C158" s="4" t="s">
        <v>175</v>
      </c>
      <c r="D158" s="24">
        <v>3000</v>
      </c>
      <c r="E158" s="22">
        <v>3600</v>
      </c>
      <c r="F158" s="13">
        <v>2700</v>
      </c>
      <c r="G158" s="27">
        <f t="shared" si="37"/>
        <v>3600</v>
      </c>
      <c r="H158" s="22">
        <v>330</v>
      </c>
      <c r="I158" s="26" t="s">
        <v>44</v>
      </c>
      <c r="J158" s="13">
        <v>3960</v>
      </c>
      <c r="K158" s="13"/>
      <c r="L158" s="27">
        <f>IF(I158="",0,IF(K158&gt;0,0,IF(I158="A",H158,IF(I158="M",H158*12,IF(I158="W",H158*(Lookups!$B$9+1),IF(I158="B",H158*(+Lookups!$B$10),IF(I158="S",H158*2,IF(AND(H158=0,K158&gt;0),K158,"ERROR"))))))))</f>
        <v>3960</v>
      </c>
      <c r="M158" s="22">
        <v>400</v>
      </c>
      <c r="N158" s="26" t="s">
        <v>44</v>
      </c>
      <c r="O158" s="13"/>
      <c r="P158" s="27">
        <f>IF(M158="",0,IF(O158&gt;0,0,IF(N158="A",M158,IF(N158="M",M158*12,IF(N158="W",M158*Lookups!B$9,IF(N158="B",M158*+Lookups!B$10,IF(N158="S",M158*2,IF(AND(M158=0,O158&gt;0),O158,"ERROR"))))))))</f>
        <v>4800</v>
      </c>
      <c r="Q158" s="149">
        <f>IF(OR(AND(P158=0,H158=0),O158&gt;0),"",IF(AND(I158="W",N158="W"),ROUND(P158-(H158*Lookups!$B$9),0),ROUND(+P158-L158,0)))</f>
        <v>840</v>
      </c>
      <c r="R158" s="91" t="str">
        <f t="shared" si="42"/>
        <v>I</v>
      </c>
      <c r="S158" s="24">
        <v>800</v>
      </c>
      <c r="T158" s="179">
        <f t="shared" si="39"/>
        <v>0</v>
      </c>
      <c r="U158" s="175" t="str">
        <f t="shared" si="40"/>
        <v/>
      </c>
      <c r="V158" s="175" t="str">
        <f t="shared" si="36"/>
        <v/>
      </c>
      <c r="W158" s="13" t="str">
        <f t="shared" si="45"/>
        <v/>
      </c>
      <c r="X158" s="13"/>
      <c r="Y158" s="140"/>
      <c r="Z158" s="67" t="s">
        <v>485</v>
      </c>
      <c r="AA158" s="68" t="s">
        <v>486</v>
      </c>
      <c r="AB158" s="68" t="s">
        <v>426</v>
      </c>
      <c r="AC158" s="69" t="s">
        <v>403</v>
      </c>
      <c r="AD158" s="70">
        <v>53402</v>
      </c>
    </row>
    <row r="159" spans="1:30" x14ac:dyDescent="0.35">
      <c r="A159" s="157" t="s">
        <v>650</v>
      </c>
      <c r="B159" s="127" t="s">
        <v>314</v>
      </c>
      <c r="C159" s="128" t="s">
        <v>242</v>
      </c>
      <c r="D159" s="146">
        <v>1275</v>
      </c>
      <c r="E159" s="130"/>
      <c r="F159" s="129"/>
      <c r="G159" s="131">
        <f t="shared" si="37"/>
        <v>0</v>
      </c>
      <c r="H159" s="130"/>
      <c r="I159" s="132"/>
      <c r="J159" s="129"/>
      <c r="K159" s="129"/>
      <c r="L159" s="131">
        <f>IF(I159="",0,IF(K159&gt;0,0,IF(I159="A",H159,IF(I159="M",H159*12,IF(I159="W",H159*(Lookups!$B$9+1),IF(I159="B",H159*(+Lookups!$B$10),IF(I159="S",H159*2,IF(AND(H159=0,K159&gt;0),K159,"ERROR"))))))))</f>
        <v>0</v>
      </c>
      <c r="M159" s="130"/>
      <c r="N159" s="132"/>
      <c r="O159" s="129"/>
      <c r="P159" s="131">
        <f>IF(M159="",0,IF(O159&gt;0,0,IF(N159="A",M159,IF(N159="M",M159*12,IF(N159="W",M159*Lookups!B$9,IF(N159="B",M159*+Lookups!B$10,IF(N159="S",M159*2,IF(AND(M159=0,O159&gt;0),O159,"ERROR"))))))))</f>
        <v>0</v>
      </c>
      <c r="Q159" s="101" t="str">
        <f>IF(OR(AND(P159=0,H159=0),O159&gt;0),"",IF(AND(I159="W",N159="W"),ROUND(P159-(H159*Lookups!$B$9),0),ROUND(+P159-L159,0)))</f>
        <v/>
      </c>
      <c r="R159" s="102" t="str">
        <f t="shared" si="42"/>
        <v/>
      </c>
      <c r="S159" s="146"/>
      <c r="T159" s="180" t="str">
        <f t="shared" si="39"/>
        <v/>
      </c>
      <c r="U159" s="176" t="str">
        <f t="shared" si="40"/>
        <v/>
      </c>
      <c r="V159" s="176" t="str">
        <f t="shared" si="36"/>
        <v/>
      </c>
      <c r="W159" s="129" t="str">
        <f t="shared" si="45"/>
        <v/>
      </c>
      <c r="X159" s="129"/>
      <c r="Y159" s="141"/>
      <c r="Z159" s="133" t="s">
        <v>512</v>
      </c>
      <c r="AA159" s="133"/>
      <c r="AB159" s="133"/>
      <c r="AC159" s="134"/>
      <c r="AD159" s="135"/>
    </row>
    <row r="160" spans="1:30" x14ac:dyDescent="0.35">
      <c r="B160" s="28" t="s">
        <v>176</v>
      </c>
      <c r="C160" s="4" t="s">
        <v>135</v>
      </c>
      <c r="D160" s="24">
        <v>815</v>
      </c>
      <c r="E160" s="22">
        <v>960</v>
      </c>
      <c r="F160" s="13">
        <v>560</v>
      </c>
      <c r="G160" s="27">
        <f t="shared" si="37"/>
        <v>560</v>
      </c>
      <c r="H160" s="22"/>
      <c r="I160" s="26" t="s">
        <v>44</v>
      </c>
      <c r="J160" s="13"/>
      <c r="K160" s="13">
        <v>800</v>
      </c>
      <c r="L160" s="27">
        <f>IF(I160="",0,IF(K160&gt;0,0,IF(I160="A",H160,IF(I160="M",H160*12,IF(I160="W",H160*(Lookups!$B$9+1),IF(I160="B",H160*(+Lookups!$B$10),IF(I160="S",H160*2,IF(AND(H160=0,K160&gt;0),K160,"ERROR"))))))))</f>
        <v>0</v>
      </c>
      <c r="M160" s="22">
        <v>50</v>
      </c>
      <c r="N160" s="26" t="s">
        <v>43</v>
      </c>
      <c r="O160" s="13"/>
      <c r="P160" s="27">
        <f>IF(M160="",0,IF(O160&gt;0,0,IF(N160="A",M160,IF(N160="M",M160*12,IF(N160="W",M160*Lookups!B$9,IF(N160="B",M160*+Lookups!B$10,IF(N160="S",M160*2,IF(AND(M160=0,O160&gt;0),O160,"ERROR"))))))))</f>
        <v>2600</v>
      </c>
      <c r="Q160" s="149">
        <f>IF(OR(AND(P160=0,H160=0),O160&gt;0),"",IF(AND(I160="W",N160="W"),ROUND(P160-(H160*Lookups!$B$9),0),ROUND(+P160-L160,0)))</f>
        <v>2600</v>
      </c>
      <c r="R160" s="91" t="str">
        <f t="shared" si="42"/>
        <v>N</v>
      </c>
      <c r="S160" s="24">
        <v>650</v>
      </c>
      <c r="T160" s="179" t="str">
        <f t="shared" si="39"/>
        <v/>
      </c>
      <c r="U160" s="175" t="str">
        <f t="shared" si="40"/>
        <v/>
      </c>
      <c r="V160" s="175" t="str">
        <f t="shared" si="36"/>
        <v/>
      </c>
      <c r="W160" s="13" t="str">
        <f t="shared" si="45"/>
        <v/>
      </c>
      <c r="X160" s="13"/>
      <c r="Y160" s="140"/>
      <c r="Z160" s="67" t="s">
        <v>593</v>
      </c>
      <c r="AA160" s="68" t="s">
        <v>594</v>
      </c>
      <c r="AB160" s="68" t="s">
        <v>538</v>
      </c>
      <c r="AC160" s="69" t="s">
        <v>403</v>
      </c>
      <c r="AD160" s="70">
        <v>53144</v>
      </c>
    </row>
    <row r="161" spans="1:30" x14ac:dyDescent="0.35">
      <c r="B161" s="28" t="s">
        <v>315</v>
      </c>
      <c r="C161" s="4" t="s">
        <v>316</v>
      </c>
      <c r="D161" s="24">
        <v>600</v>
      </c>
      <c r="E161" s="22"/>
      <c r="F161" s="13">
        <v>400</v>
      </c>
      <c r="G161" s="27">
        <f t="shared" si="37"/>
        <v>400</v>
      </c>
      <c r="H161" s="22"/>
      <c r="I161" s="26"/>
      <c r="J161" s="13">
        <v>1000</v>
      </c>
      <c r="K161" s="13">
        <v>500</v>
      </c>
      <c r="L161" s="27">
        <f>IF(I161="",0,IF(K161&gt;0,0,IF(I161="A",H161,IF(I161="M",H161*12,IF(I161="W",H161*(Lookups!$B$9+1),IF(I161="B",H161*(+Lookups!$B$10),IF(I161="S",H161*2,IF(AND(H161=0,K161&gt;0),K161,"ERROR"))))))))</f>
        <v>0</v>
      </c>
      <c r="M161" s="22">
        <v>1000</v>
      </c>
      <c r="N161" s="26" t="s">
        <v>40</v>
      </c>
      <c r="O161" s="13"/>
      <c r="P161" s="172">
        <f>IF(M161="",0,IF(O161&gt;0,0,IF(N161="A",M161,IF(N161="M",M161*12,IF(N161="W",M161*Lookups!B$9,IF(N161="B",M161*+Lookups!B$10,IF(N161="S",M161*2,IF(AND(M161=0,O161&gt;0),O161,"ERROR"))))))))</f>
        <v>1000</v>
      </c>
      <c r="Q161" s="149">
        <f>IF(OR(AND(P161=0,H161=0),O161&gt;0),"",IF(AND(I161="W",N161="W"),ROUND(P161-(H161*Lookups!$B$9),0),ROUND(+P161-L161,0)))</f>
        <v>1000</v>
      </c>
      <c r="R161" s="91" t="str">
        <f t="shared" si="42"/>
        <v>N</v>
      </c>
      <c r="S161" s="24"/>
      <c r="T161" s="179" t="str">
        <f t="shared" si="39"/>
        <v/>
      </c>
      <c r="U161" s="175">
        <f t="shared" si="40"/>
        <v>0</v>
      </c>
      <c r="V161" s="175" t="str">
        <f t="shared" si="36"/>
        <v/>
      </c>
      <c r="W161" s="13" t="str">
        <f t="shared" si="45"/>
        <v/>
      </c>
      <c r="X161" s="13"/>
      <c r="Y161" s="140" t="s">
        <v>595</v>
      </c>
      <c r="Z161" s="67" t="s">
        <v>596</v>
      </c>
      <c r="AA161" s="68" t="s">
        <v>597</v>
      </c>
      <c r="AB161" s="68" t="s">
        <v>571</v>
      </c>
      <c r="AC161" s="69" t="s">
        <v>403</v>
      </c>
      <c r="AD161" s="70">
        <v>53406</v>
      </c>
    </row>
    <row r="162" spans="1:30" x14ac:dyDescent="0.35">
      <c r="A162" s="157" t="s">
        <v>650</v>
      </c>
      <c r="B162" s="127" t="s">
        <v>177</v>
      </c>
      <c r="C162" s="128" t="s">
        <v>317</v>
      </c>
      <c r="D162" s="146">
        <v>12000</v>
      </c>
      <c r="E162" s="130"/>
      <c r="F162" s="129">
        <v>1000</v>
      </c>
      <c r="G162" s="131">
        <f t="shared" si="37"/>
        <v>1000</v>
      </c>
      <c r="H162" s="130"/>
      <c r="I162" s="132"/>
      <c r="J162" s="129"/>
      <c r="K162" s="129"/>
      <c r="L162" s="131">
        <f>IF(I162="",0,IF(K162&gt;0,0,IF(I162="A",H162,IF(I162="M",H162*12,IF(I162="W",H162*(Lookups!$B$9+1),IF(I162="B",H162*(+Lookups!$B$10),IF(I162="S",H162*2,IF(AND(H162=0,K162&gt;0),K162,"ERROR"))))))))</f>
        <v>0</v>
      </c>
      <c r="M162" s="130"/>
      <c r="N162" s="132"/>
      <c r="O162" s="129"/>
      <c r="P162" s="131">
        <f>IF(M162="",0,IF(O162&gt;0,0,IF(N162="A",M162,IF(N162="M",M162*12,IF(N162="W",M162*Lookups!B$9,IF(N162="B",M162*+Lookups!B$10,IF(N162="S",M162*2,IF(AND(M162=0,O162&gt;0),O162,"ERROR"))))))))</f>
        <v>0</v>
      </c>
      <c r="Q162" s="101" t="str">
        <f>IF(OR(AND(P162=0,H162=0),O162&gt;0),"",IF(AND(I162="W",N162="W"),ROUND(P162-(H162*Lookups!$B$9),0),ROUND(+P162-L162,0)))</f>
        <v/>
      </c>
      <c r="R162" s="102" t="str">
        <f t="shared" si="42"/>
        <v/>
      </c>
      <c r="S162" s="146"/>
      <c r="T162" s="180" t="str">
        <f t="shared" si="39"/>
        <v/>
      </c>
      <c r="U162" s="176" t="str">
        <f t="shared" si="40"/>
        <v/>
      </c>
      <c r="V162" s="176" t="str">
        <f t="shared" si="36"/>
        <v/>
      </c>
      <c r="W162" s="129" t="str">
        <f t="shared" si="45"/>
        <v/>
      </c>
      <c r="X162" s="129"/>
      <c r="Y162" s="141"/>
      <c r="Z162" s="133" t="s">
        <v>513</v>
      </c>
      <c r="AA162" s="133"/>
      <c r="AB162" s="133"/>
      <c r="AC162" s="134"/>
      <c r="AD162" s="135"/>
    </row>
    <row r="163" spans="1:30" x14ac:dyDescent="0.35">
      <c r="B163" s="166" t="s">
        <v>177</v>
      </c>
      <c r="C163" s="86" t="s">
        <v>178</v>
      </c>
      <c r="D163" s="24">
        <v>1090</v>
      </c>
      <c r="E163" s="22">
        <v>1040</v>
      </c>
      <c r="F163" s="13">
        <v>760</v>
      </c>
      <c r="G163" s="27">
        <f t="shared" si="37"/>
        <v>1040</v>
      </c>
      <c r="H163" s="22">
        <v>20</v>
      </c>
      <c r="I163" s="26" t="s">
        <v>43</v>
      </c>
      <c r="J163" s="13">
        <v>1080</v>
      </c>
      <c r="K163" s="13"/>
      <c r="L163" s="27">
        <f>IF(I163="",0,IF(K163&gt;0,0,IF(I163="A",H163,IF(I163="M",H163*12,IF(I163="W",H163*(Lookups!$B$9+1),IF(I163="B",H163*(+Lookups!$B$10),IF(I163="S",H163*2,IF(AND(H163=0,K163&gt;0),K163,"ERROR"))))))))</f>
        <v>1060</v>
      </c>
      <c r="M163" s="22">
        <v>15</v>
      </c>
      <c r="N163" s="26" t="s">
        <v>43</v>
      </c>
      <c r="O163" s="13"/>
      <c r="P163" s="27">
        <f>IF(M163="",0,IF(O163&gt;0,0,IF(N163="A",M163,IF(N163="M",M163*12,IF(N163="W",M163*Lookups!B$9,IF(N163="B",M163*+Lookups!B$10,IF(N163="S",M163*2,IF(AND(M163=0,O163&gt;0),O163,"ERROR"))))))))</f>
        <v>780</v>
      </c>
      <c r="Q163" s="149">
        <f>IF(OR(AND(P163=0,H163=0),O163&gt;0),"",IF(AND(I163="W",N163="W"),ROUND(P163-(H163*Lookups!$B$9),0),ROUND(+P163-L163,0)))</f>
        <v>-260</v>
      </c>
      <c r="R163" s="91" t="str">
        <f t="shared" si="42"/>
        <v>D</v>
      </c>
      <c r="S163" s="24">
        <v>105</v>
      </c>
      <c r="T163" s="179">
        <f t="shared" si="39"/>
        <v>0</v>
      </c>
      <c r="U163" s="175" t="str">
        <f t="shared" si="40"/>
        <v/>
      </c>
      <c r="V163" s="175" t="str">
        <f t="shared" si="36"/>
        <v/>
      </c>
      <c r="W163" s="13" t="str">
        <f t="shared" si="45"/>
        <v/>
      </c>
      <c r="X163" s="13"/>
      <c r="Y163" s="140"/>
      <c r="Z163" s="67" t="s">
        <v>602</v>
      </c>
      <c r="AA163" s="68" t="s">
        <v>603</v>
      </c>
      <c r="AB163" s="68" t="s">
        <v>426</v>
      </c>
      <c r="AC163" s="69" t="s">
        <v>604</v>
      </c>
      <c r="AD163" s="70">
        <v>53406</v>
      </c>
    </row>
    <row r="164" spans="1:30" x14ac:dyDescent="0.35">
      <c r="B164" s="28" t="s">
        <v>177</v>
      </c>
      <c r="C164" s="4" t="s">
        <v>318</v>
      </c>
      <c r="D164" s="24">
        <v>1000</v>
      </c>
      <c r="E164" s="22"/>
      <c r="F164" s="13"/>
      <c r="G164" s="27">
        <f t="shared" si="37"/>
        <v>0</v>
      </c>
      <c r="H164" s="22">
        <v>1200</v>
      </c>
      <c r="I164" s="26" t="s">
        <v>40</v>
      </c>
      <c r="J164" s="13">
        <v>1400</v>
      </c>
      <c r="K164" s="13"/>
      <c r="L164" s="27">
        <f>IF(I164="",0,IF(K164&gt;0,0,IF(I164="A",H164,IF(I164="M",H164*12,IF(I164="W",H164*(Lookups!$B$9+1),IF(I164="B",H164*(+Lookups!$B$10),IF(I164="S",H164*2,IF(AND(H164=0,K164&gt;0),K164,"ERROR"))))))))</f>
        <v>1200</v>
      </c>
      <c r="M164" s="22">
        <v>1200</v>
      </c>
      <c r="N164" s="26" t="s">
        <v>40</v>
      </c>
      <c r="O164" s="13"/>
      <c r="P164" s="172">
        <f>IF(M164="",0,IF(O164&gt;0,0,IF(N164="A",M164,IF(N164="M",M164*12,IF(N164="W",M164*Lookups!B$9,IF(N164="B",M164*+Lookups!B$10,IF(N164="S",M164*2,IF(AND(M164=0,O164&gt;0),O164,"ERROR"))))))))</f>
        <v>1200</v>
      </c>
      <c r="Q164" s="149">
        <f>IF(OR(AND(P164=0,H164=0),O164&gt;0),"",IF(AND(I164="W",N164="W"),ROUND(P164-(H164*Lookups!$B$9),0),ROUND(+P164-L164,0)))</f>
        <v>0</v>
      </c>
      <c r="R164" s="91" t="str">
        <f t="shared" si="42"/>
        <v>S</v>
      </c>
      <c r="S164" s="24"/>
      <c r="T164" s="179" t="str">
        <f t="shared" si="39"/>
        <v/>
      </c>
      <c r="U164" s="175">
        <f t="shared" si="40"/>
        <v>0</v>
      </c>
      <c r="V164" s="175" t="str">
        <f t="shared" si="36"/>
        <v/>
      </c>
      <c r="W164" s="13" t="str">
        <f t="shared" si="45"/>
        <v/>
      </c>
      <c r="X164" s="13"/>
      <c r="Y164" s="140"/>
      <c r="Z164" s="67" t="s">
        <v>599</v>
      </c>
      <c r="AA164" s="68" t="s">
        <v>600</v>
      </c>
      <c r="AB164" s="68" t="s">
        <v>601</v>
      </c>
      <c r="AC164" s="69" t="s">
        <v>403</v>
      </c>
      <c r="AD164" s="70">
        <v>53185</v>
      </c>
    </row>
    <row r="165" spans="1:30" x14ac:dyDescent="0.35">
      <c r="B165" s="28" t="s">
        <v>177</v>
      </c>
      <c r="C165" s="4" t="s">
        <v>319</v>
      </c>
      <c r="D165" s="24">
        <v>25</v>
      </c>
      <c r="E165" s="22"/>
      <c r="F165" s="13"/>
      <c r="G165" s="27">
        <f t="shared" si="37"/>
        <v>0</v>
      </c>
      <c r="H165" s="22"/>
      <c r="I165" s="26"/>
      <c r="J165" s="13">
        <v>25</v>
      </c>
      <c r="K165" s="13"/>
      <c r="L165" s="27">
        <f>IF(I165="",0,IF(K165&gt;0,0,IF(I165="A",H165,IF(I165="M",H165*12,IF(I165="W",H165*(Lookups!$B$9+1),IF(I165="B",H165*(+Lookups!$B$10),IF(I165="S",H165*2,IF(AND(H165=0,K165&gt;0),K165,"ERROR"))))))))</f>
        <v>0</v>
      </c>
      <c r="M165" s="22"/>
      <c r="N165" s="26"/>
      <c r="O165" s="13"/>
      <c r="P165" s="27">
        <f>IF(M165="",0,IF(O165&gt;0,0,IF(N165="A",M165,IF(N165="M",M165*12,IF(N165="W",M165*Lookups!B$9,IF(N165="B",M165*+Lookups!B$10,IF(N165="S",M165*2,IF(AND(M165=0,O165&gt;0),O165,"ERROR"))))))))</f>
        <v>0</v>
      </c>
      <c r="Q165" s="149" t="str">
        <f>IF(OR(AND(P165=0,H165=0),O165&gt;0),"",IF(AND(I165="W",N165="W"),ROUND(P165-(H165*Lookups!$B$9),0),ROUND(+P165-L165,0)))</f>
        <v/>
      </c>
      <c r="R165" s="91" t="str">
        <f t="shared" si="42"/>
        <v/>
      </c>
      <c r="S165" s="24"/>
      <c r="T165" s="179" t="str">
        <f t="shared" si="39"/>
        <v/>
      </c>
      <c r="U165" s="175">
        <f t="shared" si="40"/>
        <v>0</v>
      </c>
      <c r="V165" s="175" t="str">
        <f t="shared" si="36"/>
        <v/>
      </c>
      <c r="W165" s="13" t="str">
        <f t="shared" si="45"/>
        <v/>
      </c>
      <c r="X165" s="13"/>
      <c r="Y165" s="140"/>
    </row>
    <row r="166" spans="1:30" x14ac:dyDescent="0.35">
      <c r="A166" s="157" t="s">
        <v>650</v>
      </c>
      <c r="B166" s="28" t="s">
        <v>177</v>
      </c>
      <c r="C166" s="4" t="s">
        <v>320</v>
      </c>
      <c r="D166" s="24">
        <v>400</v>
      </c>
      <c r="E166" s="22"/>
      <c r="F166" s="13">
        <v>100</v>
      </c>
      <c r="G166" s="27">
        <f t="shared" si="37"/>
        <v>100</v>
      </c>
      <c r="H166" s="22"/>
      <c r="I166" s="26"/>
      <c r="J166" s="13"/>
      <c r="K166" s="13"/>
      <c r="L166" s="27">
        <f>IF(I166="",0,IF(K166&gt;0,0,IF(I166="A",H166,IF(I166="M",H166*12,IF(I166="W",H166*(Lookups!$B$9+1),IF(I166="B",H166*(+Lookups!$B$10),IF(I166="S",H166*2,IF(AND(H166=0,K166&gt;0),K166,"ERROR"))))))))</f>
        <v>0</v>
      </c>
      <c r="M166" s="22"/>
      <c r="N166" s="26"/>
      <c r="O166" s="13"/>
      <c r="P166" s="27">
        <f>IF(M166="",0,IF(O166&gt;0,0,IF(N166="A",M166,IF(N166="M",M166*12,IF(N166="W",M166*Lookups!B$9,IF(N166="B",M166*+Lookups!B$10,IF(N166="S",M166*2,IF(AND(M166=0,O166&gt;0),O166,"ERROR"))))))))</f>
        <v>0</v>
      </c>
      <c r="Q166" s="149" t="str">
        <f>IF(OR(AND(P166=0,H166=0),O166&gt;0),"",IF(AND(I166="W",N166="W"),ROUND(P166-(H166*Lookups!$B$9),0),ROUND(+P166-L166,0)))</f>
        <v/>
      </c>
      <c r="R166" s="91" t="str">
        <f t="shared" si="42"/>
        <v/>
      </c>
      <c r="S166" s="24"/>
      <c r="T166" s="179" t="str">
        <f t="shared" si="39"/>
        <v/>
      </c>
      <c r="U166" s="175" t="str">
        <f t="shared" si="40"/>
        <v/>
      </c>
      <c r="V166" s="175" t="str">
        <f t="shared" si="36"/>
        <v/>
      </c>
      <c r="W166" s="13" t="str">
        <f t="shared" si="45"/>
        <v/>
      </c>
      <c r="X166" s="13"/>
      <c r="Y166" s="140"/>
    </row>
    <row r="167" spans="1:30" x14ac:dyDescent="0.35">
      <c r="B167" s="28" t="s">
        <v>179</v>
      </c>
      <c r="C167" s="4" t="s">
        <v>15</v>
      </c>
      <c r="D167" s="24">
        <v>1747</v>
      </c>
      <c r="E167" s="22">
        <v>1320</v>
      </c>
      <c r="F167" s="13">
        <v>660</v>
      </c>
      <c r="G167" s="27">
        <f t="shared" ref="G167:G200" si="46">IF(E167=0,F167,IF(AND(F167=0,J167="A"),E167,IF(F167&gt;E167,F167, IF(F167/E167&gt;0.73,E167,F167))))</f>
        <v>660</v>
      </c>
      <c r="H167" s="22">
        <v>110</v>
      </c>
      <c r="I167" s="26" t="s">
        <v>44</v>
      </c>
      <c r="J167" s="13">
        <v>1210</v>
      </c>
      <c r="K167" s="13"/>
      <c r="L167" s="27">
        <f>IF(I167="",0,IF(K167&gt;0,0,IF(I167="A",H167,IF(I167="M",H167*12,IF(I167="W",H167*(Lookups!$B$9+1),IF(I167="B",H167*(+Lookups!$B$10),IF(I167="S",H167*2,IF(AND(H167=0,K167&gt;0),K167,"ERROR"))))))))</f>
        <v>1320</v>
      </c>
      <c r="M167" s="22">
        <v>170</v>
      </c>
      <c r="N167" s="26" t="s">
        <v>44</v>
      </c>
      <c r="O167" s="13"/>
      <c r="P167" s="27">
        <f>IF(M167="",0,IF(O167&gt;0,0,IF(N167="A",M167,IF(N167="M",M167*12,IF(N167="W",M167*Lookups!B$9,IF(N167="B",M167*+Lookups!B$10,IF(N167="S",M167*2,IF(AND(M167=0,O167&gt;0),O167,"ERROR"))))))))</f>
        <v>2040</v>
      </c>
      <c r="Q167" s="149">
        <f>IF(OR(AND(P167=0,H167=0),O167&gt;0),"",IF(AND(I167="W",N167="W"),ROUND(P167-(H167*Lookups!$B$9),0),ROUND(+P167-L167,0)))</f>
        <v>720</v>
      </c>
      <c r="R167" s="91" t="str">
        <f t="shared" si="42"/>
        <v>I</v>
      </c>
      <c r="S167" s="24">
        <v>170</v>
      </c>
      <c r="T167" s="179">
        <f t="shared" si="39"/>
        <v>0</v>
      </c>
      <c r="U167" s="175" t="str">
        <f t="shared" si="40"/>
        <v/>
      </c>
      <c r="V167" s="175" t="str">
        <f t="shared" si="36"/>
        <v/>
      </c>
      <c r="W167" s="13" t="str">
        <f t="shared" si="45"/>
        <v/>
      </c>
      <c r="X167" s="13"/>
      <c r="Y167" s="140"/>
      <c r="Z167" s="67" t="s">
        <v>605</v>
      </c>
      <c r="AA167" s="68" t="s">
        <v>606</v>
      </c>
      <c r="AB167" s="68" t="s">
        <v>571</v>
      </c>
      <c r="AC167" s="69" t="s">
        <v>403</v>
      </c>
      <c r="AD167" s="70">
        <v>53406</v>
      </c>
    </row>
    <row r="168" spans="1:30" x14ac:dyDescent="0.35">
      <c r="B168" s="28" t="s">
        <v>179</v>
      </c>
      <c r="C168" s="4" t="s">
        <v>383</v>
      </c>
      <c r="D168" s="24"/>
      <c r="E168" s="22"/>
      <c r="F168" s="13">
        <v>25</v>
      </c>
      <c r="G168" s="27">
        <f t="shared" si="46"/>
        <v>25</v>
      </c>
      <c r="H168" s="22"/>
      <c r="I168" s="26"/>
      <c r="J168" s="13">
        <v>150</v>
      </c>
      <c r="K168" s="13"/>
      <c r="L168" s="27">
        <f>IF(I168="",0,IF(K168&gt;0,0,IF(I168="A",H168,IF(I168="M",H168*12,IF(I168="W",H168*(Lookups!$B$9+1),IF(I168="B",H168*(+Lookups!$B$10),IF(I168="S",H168*2,IF(AND(H168=0,K168&gt;0),K168,"ERROR"))))))))</f>
        <v>0</v>
      </c>
      <c r="M168" s="22"/>
      <c r="N168" s="26"/>
      <c r="O168" s="13"/>
      <c r="P168" s="27">
        <f>IF(M168="",0,IF(O168&gt;0,0,IF(N168="A",M168,IF(N168="M",M168*12,IF(N168="W",M168*Lookups!B$9,IF(N168="B",M168*+Lookups!B$10,IF(N168="S",M168*2,IF(AND(M168=0,O168&gt;0),O168,"ERROR"))))))))</f>
        <v>0</v>
      </c>
      <c r="Q168" s="149" t="str">
        <f>IF(OR(AND(P168=0,H168=0),O168&gt;0),"",IF(AND(I168="W",N168="W"),ROUND(P168-(H168*Lookups!$B$9),0),ROUND(+P168-L168,0)))</f>
        <v/>
      </c>
      <c r="R168" s="91" t="str">
        <f t="shared" si="42"/>
        <v/>
      </c>
      <c r="S168" s="24">
        <v>80</v>
      </c>
      <c r="T168" s="179">
        <f t="shared" si="39"/>
        <v>0</v>
      </c>
      <c r="U168" s="175" t="str">
        <f t="shared" si="40"/>
        <v/>
      </c>
      <c r="V168" s="175">
        <f t="shared" si="36"/>
        <v>480</v>
      </c>
      <c r="W168" s="13" t="str">
        <f t="shared" si="45"/>
        <v/>
      </c>
      <c r="X168" s="13"/>
      <c r="Y168" s="140"/>
    </row>
    <row r="169" spans="1:30" ht="29" x14ac:dyDescent="0.35">
      <c r="B169" s="28" t="s">
        <v>180</v>
      </c>
      <c r="C169" s="4" t="s">
        <v>181</v>
      </c>
      <c r="D169" s="24">
        <v>100000</v>
      </c>
      <c r="E169" s="22">
        <v>100000</v>
      </c>
      <c r="F169" s="13">
        <v>110000</v>
      </c>
      <c r="G169" s="27">
        <f t="shared" si="46"/>
        <v>110000</v>
      </c>
      <c r="H169" s="22">
        <v>80000</v>
      </c>
      <c r="I169" s="26" t="s">
        <v>40</v>
      </c>
      <c r="J169" s="13">
        <v>80000</v>
      </c>
      <c r="K169" s="13"/>
      <c r="L169" s="27">
        <f>IF(I169="",0,IF(K169&gt;0,0,IF(I169="A",H169,IF(I169="M",H169*12,IF(I169="W",H169*(Lookups!$B$9+1),IF(I169="B",H169*(+Lookups!$B$10),IF(I169="S",H169*2,IF(AND(H169=0,K169&gt;0),K169,"ERROR"))))))))</f>
        <v>80000</v>
      </c>
      <c r="M169" s="22">
        <v>80000</v>
      </c>
      <c r="N169" s="26" t="s">
        <v>40</v>
      </c>
      <c r="O169" s="13"/>
      <c r="P169" s="27">
        <f>IF(M169="",0,IF(O169&gt;0,0,IF(N169="A",M169,IF(N169="M",M169*12,IF(N169="W",M169*Lookups!B$9,IF(N169="B",M169*+Lookups!B$10,IF(N169="S",M169*2,IF(AND(M169=0,O169&gt;0),O169,"ERROR"))))))))</f>
        <v>80000</v>
      </c>
      <c r="Q169" s="149">
        <f>IF(OR(AND(P169=0,H169=0),O169&gt;0),"",IF(AND(I169="W",N169="W"),ROUND(P169-(H169*Lookups!$B$9),0),ROUND(+P169-L169,0)))</f>
        <v>0</v>
      </c>
      <c r="R169" s="91" t="str">
        <f t="shared" si="42"/>
        <v>S</v>
      </c>
      <c r="S169" s="24">
        <v>29000</v>
      </c>
      <c r="T169" s="179">
        <f t="shared" si="39"/>
        <v>0</v>
      </c>
      <c r="U169" s="175" t="str">
        <f t="shared" si="40"/>
        <v/>
      </c>
      <c r="V169" s="175" t="str">
        <f t="shared" si="36"/>
        <v/>
      </c>
      <c r="W169" s="13">
        <f t="shared" si="45"/>
        <v>80000</v>
      </c>
      <c r="X169" s="13">
        <v>86</v>
      </c>
      <c r="Y169" s="145" t="s">
        <v>607</v>
      </c>
    </row>
    <row r="170" spans="1:30" x14ac:dyDescent="0.35">
      <c r="B170" s="28" t="s">
        <v>182</v>
      </c>
      <c r="C170" s="4" t="s">
        <v>183</v>
      </c>
      <c r="D170" s="24">
        <v>1640</v>
      </c>
      <c r="E170" s="22">
        <v>1820</v>
      </c>
      <c r="F170" s="13">
        <v>900</v>
      </c>
      <c r="G170" s="27">
        <f t="shared" si="46"/>
        <v>900</v>
      </c>
      <c r="H170" s="22"/>
      <c r="I170" s="26"/>
      <c r="J170" s="13"/>
      <c r="K170" s="13"/>
      <c r="L170" s="27">
        <f>IF(I170="",0,IF(K170&gt;0,0,IF(I170="A",H170,IF(I170="M",H170*12,IF(I170="W",H170*(Lookups!$B$9+1),IF(I170="B",H170*(+Lookups!$B$10),IF(I170="S",H170*2,IF(AND(H170=0,K170&gt;0),K170,"ERROR"))))))))</f>
        <v>0</v>
      </c>
      <c r="M170" s="22"/>
      <c r="N170" s="26"/>
      <c r="O170" s="13"/>
      <c r="P170" s="27">
        <f>IF(M170="",0,IF(O170&gt;0,0,IF(N170="A",M170,IF(N170="M",M170*12,IF(N170="W",M170*Lookups!B$9,IF(N170="B",M170*+Lookups!B$10,IF(N170="S",M170*2,IF(AND(M170=0,O170&gt;0),O170,"ERROR"))))))))</f>
        <v>0</v>
      </c>
      <c r="Q170" s="149" t="str">
        <f>IF(OR(AND(P170=0,H170=0),O170&gt;0),"",IF(AND(I170="W",N170="W"),ROUND(P170-(H170*Lookups!$B$9),0),ROUND(+P170-L170,0)))</f>
        <v/>
      </c>
      <c r="R170" s="151" t="s">
        <v>643</v>
      </c>
      <c r="S170" s="24">
        <v>100</v>
      </c>
      <c r="T170" s="179" t="str">
        <f t="shared" si="39"/>
        <v/>
      </c>
      <c r="U170" s="175" t="str">
        <f t="shared" si="40"/>
        <v/>
      </c>
      <c r="V170" s="175" t="str">
        <f t="shared" si="36"/>
        <v/>
      </c>
      <c r="W170" s="13" t="str">
        <f t="shared" si="45"/>
        <v/>
      </c>
      <c r="X170" s="13"/>
      <c r="Y170" s="140"/>
    </row>
    <row r="171" spans="1:30" x14ac:dyDescent="0.35">
      <c r="B171" s="28" t="s">
        <v>321</v>
      </c>
      <c r="C171" s="4" t="s">
        <v>322</v>
      </c>
      <c r="D171" s="24">
        <v>800</v>
      </c>
      <c r="E171" s="22"/>
      <c r="F171" s="13"/>
      <c r="G171" s="27">
        <f t="shared" si="46"/>
        <v>0</v>
      </c>
      <c r="H171" s="22"/>
      <c r="I171" s="26"/>
      <c r="J171" s="13">
        <v>170</v>
      </c>
      <c r="K171" s="13"/>
      <c r="L171" s="27">
        <f>IF(I171="",0,IF(K171&gt;0,0,IF(I171="A",H171,IF(I171="M",H171*12,IF(I171="W",H171*(Lookups!$B$9+1),IF(I171="B",H171*(+Lookups!$B$10),IF(I171="S",H171*2,IF(AND(H171=0,K171&gt;0),K171,"ERROR"))))))))</f>
        <v>0</v>
      </c>
      <c r="M171" s="22"/>
      <c r="N171" s="26"/>
      <c r="O171" s="13"/>
      <c r="P171" s="27">
        <f>IF(M171="",0,IF(O171&gt;0,0,IF(N171="A",M171,IF(N171="M",M171*12,IF(N171="W",M171*Lookups!B$9,IF(N171="B",M171*+Lookups!B$10,IF(N171="S",M171*2,IF(AND(M171=0,O171&gt;0),O171,"ERROR"))))))))</f>
        <v>0</v>
      </c>
      <c r="Q171" s="149" t="str">
        <f>IF(OR(AND(P171=0,H171=0),O171&gt;0),"",IF(AND(I171="W",N171="W"),ROUND(P171-(H171*Lookups!$B$9),0),ROUND(+P171-L171,0)))</f>
        <v/>
      </c>
      <c r="R171" s="91" t="str">
        <f t="shared" si="42"/>
        <v/>
      </c>
      <c r="S171" s="24"/>
      <c r="T171" s="179" t="str">
        <f t="shared" si="39"/>
        <v/>
      </c>
      <c r="U171" s="175">
        <f t="shared" si="40"/>
        <v>0</v>
      </c>
      <c r="V171" s="175" t="str">
        <f t="shared" si="36"/>
        <v/>
      </c>
      <c r="W171" s="13" t="str">
        <f t="shared" si="45"/>
        <v/>
      </c>
      <c r="X171" s="13"/>
      <c r="Y171" s="140"/>
    </row>
    <row r="172" spans="1:30" ht="29" x14ac:dyDescent="0.35">
      <c r="B172" s="28" t="s">
        <v>184</v>
      </c>
      <c r="C172" s="4" t="s">
        <v>664</v>
      </c>
      <c r="D172" s="24">
        <v>3640</v>
      </c>
      <c r="E172" s="22">
        <v>3120</v>
      </c>
      <c r="F172" s="13">
        <v>2340</v>
      </c>
      <c r="G172" s="27">
        <f t="shared" si="46"/>
        <v>3120</v>
      </c>
      <c r="H172" s="22">
        <v>50</v>
      </c>
      <c r="I172" s="26" t="s">
        <v>43</v>
      </c>
      <c r="J172" s="13">
        <v>3100</v>
      </c>
      <c r="K172" s="13"/>
      <c r="L172" s="27">
        <f>IF(I172="",0,IF(K172&gt;0,0,IF(I172="A",H172,IF(I172="M",H172*12,IF(I172="W",H172*(Lookups!$B$9+1),IF(I172="B",H172*(+Lookups!$B$10),IF(I172="S",H172*2,IF(AND(H172=0,K172&gt;0),K172,"ERROR"))))))))</f>
        <v>2650</v>
      </c>
      <c r="M172" s="22">
        <v>55</v>
      </c>
      <c r="N172" s="26" t="s">
        <v>43</v>
      </c>
      <c r="O172" s="13"/>
      <c r="P172" s="27">
        <f>IF(M172="",0,IF(O172&gt;0,0,IF(N172="A",M172,IF(N172="M",M172*12,IF(N172="W",M172*Lookups!B$9,IF(N172="B",M172*+Lookups!B$10,IF(N172="S",M172*2,IF(AND(M172=0,O172&gt;0),O172,"ERROR"))))))))</f>
        <v>2860</v>
      </c>
      <c r="Q172" s="149">
        <f>IF(OR(AND(P172=0,H172=0),O172&gt;0),"",IF(AND(I172="W",N172="W"),ROUND(P172-(H172*Lookups!$B$9),0),ROUND(+P172-L172,0)))</f>
        <v>260</v>
      </c>
      <c r="R172" s="91" t="str">
        <f t="shared" si="42"/>
        <v>I</v>
      </c>
      <c r="S172" s="24">
        <v>440</v>
      </c>
      <c r="T172" s="179">
        <f t="shared" si="39"/>
        <v>0</v>
      </c>
      <c r="U172" s="175" t="str">
        <f t="shared" si="40"/>
        <v/>
      </c>
      <c r="V172" s="175" t="str">
        <f t="shared" si="36"/>
        <v/>
      </c>
      <c r="W172" s="13" t="str">
        <f t="shared" si="45"/>
        <v/>
      </c>
      <c r="X172" s="13"/>
      <c r="Y172" s="140"/>
      <c r="Z172" s="67" t="s">
        <v>608</v>
      </c>
      <c r="AA172" s="138" t="s">
        <v>609</v>
      </c>
      <c r="AB172" s="68" t="s">
        <v>610</v>
      </c>
      <c r="AC172" s="69" t="s">
        <v>611</v>
      </c>
      <c r="AD172" s="70" t="s">
        <v>612</v>
      </c>
    </row>
    <row r="173" spans="1:30" x14ac:dyDescent="0.35">
      <c r="A173" s="157" t="s">
        <v>650</v>
      </c>
      <c r="B173" s="28" t="s">
        <v>323</v>
      </c>
      <c r="C173" s="4" t="s">
        <v>324</v>
      </c>
      <c r="D173" s="24">
        <v>165</v>
      </c>
      <c r="E173" s="22"/>
      <c r="F173" s="13"/>
      <c r="G173" s="27">
        <f t="shared" si="46"/>
        <v>0</v>
      </c>
      <c r="H173" s="22"/>
      <c r="I173" s="26"/>
      <c r="J173" s="13">
        <v>9</v>
      </c>
      <c r="K173" s="13"/>
      <c r="L173" s="27">
        <f>IF(I173="",0,IF(K173&gt;0,0,IF(I173="A",H173,IF(I173="M",H173*12,IF(I173="W",H173*(Lookups!$B$9+1),IF(I173="B",H173*(+Lookups!$B$10),IF(I173="S",H173*2,IF(AND(H173=0,K173&gt;0),K173,"ERROR"))))))))</f>
        <v>0</v>
      </c>
      <c r="M173" s="22"/>
      <c r="N173" s="26"/>
      <c r="O173" s="13"/>
      <c r="P173" s="27">
        <f>IF(M173="",0,IF(O173&gt;0,0,IF(N173="A",M173,IF(N173="M",M173*12,IF(N173="W",M173*Lookups!B$9,IF(N173="B",M173*+Lookups!B$10,IF(N173="S",M173*2,IF(AND(M173=0,O173&gt;0),O173,"ERROR"))))))))</f>
        <v>0</v>
      </c>
      <c r="Q173" s="149" t="str">
        <f>IF(OR(AND(P173=0,H173=0),O173&gt;0),"",IF(AND(I173="W",N173="W"),ROUND(P173-(H173*Lookups!$B$9),0),ROUND(+P173-L173,0)))</f>
        <v/>
      </c>
      <c r="R173" s="91" t="str">
        <f t="shared" si="42"/>
        <v/>
      </c>
      <c r="S173" s="24"/>
      <c r="T173" s="179" t="str">
        <f t="shared" si="39"/>
        <v/>
      </c>
      <c r="U173" s="175">
        <f t="shared" si="40"/>
        <v>0</v>
      </c>
      <c r="V173" s="175" t="str">
        <f t="shared" si="36"/>
        <v/>
      </c>
      <c r="W173" s="13" t="str">
        <f t="shared" si="45"/>
        <v/>
      </c>
      <c r="X173" s="13"/>
      <c r="Y173" s="140"/>
    </row>
    <row r="174" spans="1:30" x14ac:dyDescent="0.35">
      <c r="A174" s="157" t="s">
        <v>650</v>
      </c>
      <c r="B174" s="127" t="s">
        <v>185</v>
      </c>
      <c r="C174" s="128" t="s">
        <v>186</v>
      </c>
      <c r="D174" s="146">
        <v>3225</v>
      </c>
      <c r="E174" s="130">
        <v>3900</v>
      </c>
      <c r="F174" s="129">
        <v>2275</v>
      </c>
      <c r="G174" s="131">
        <f t="shared" si="46"/>
        <v>2275</v>
      </c>
      <c r="H174" s="130">
        <v>0</v>
      </c>
      <c r="I174" s="132" t="s">
        <v>44</v>
      </c>
      <c r="J174" s="129"/>
      <c r="K174" s="129">
        <v>0</v>
      </c>
      <c r="L174" s="131">
        <f>IF(I174="",0,IF(K174&gt;0,0,IF(I174="A",H174,IF(I174="M",H174*12,IF(I174="W",H174*(Lookups!$B$9+1),IF(I174="B",H174*(+Lookups!$B$10),IF(I174="S",H174*2,IF(AND(H174=0,K174&gt;0),K174,"ERROR"))))))))</f>
        <v>0</v>
      </c>
      <c r="M174" s="130"/>
      <c r="N174" s="132"/>
      <c r="O174" s="129"/>
      <c r="P174" s="131">
        <f>IF(M174="",0,IF(O174&gt;0,0,IF(N174="A",M174,IF(N174="M",M174*12,IF(N174="W",M174*Lookups!B$9,IF(N174="B",M174*+Lookups!B$10,IF(N174="S",M174*2,IF(AND(M174=0,O174&gt;0),O174,"ERROR"))))))))</f>
        <v>0</v>
      </c>
      <c r="Q174" s="101" t="str">
        <f>IF(OR(AND(P174=0,H174=0),O174&gt;0),"",IF(AND(I174="W",N174="W"),ROUND(P174-(H174*Lookups!$B$9),0),ROUND(+P174-L174,0)))</f>
        <v/>
      </c>
      <c r="R174" s="102" t="str">
        <f t="shared" si="42"/>
        <v/>
      </c>
      <c r="S174" s="146"/>
      <c r="T174" s="180" t="str">
        <f t="shared" si="39"/>
        <v/>
      </c>
      <c r="U174" s="176" t="str">
        <f t="shared" si="40"/>
        <v/>
      </c>
      <c r="V174" s="176" t="str">
        <f t="shared" si="36"/>
        <v/>
      </c>
      <c r="W174" s="129" t="str">
        <f t="shared" si="45"/>
        <v/>
      </c>
      <c r="X174" s="129"/>
      <c r="Y174" s="141"/>
      <c r="Z174" s="133" t="s">
        <v>510</v>
      </c>
      <c r="AA174" s="133"/>
      <c r="AB174" s="133"/>
      <c r="AC174" s="134"/>
      <c r="AD174" s="135"/>
    </row>
    <row r="175" spans="1:30" x14ac:dyDescent="0.35">
      <c r="B175" s="166" t="s">
        <v>187</v>
      </c>
      <c r="C175" s="4" t="s">
        <v>188</v>
      </c>
      <c r="D175" s="24">
        <v>300</v>
      </c>
      <c r="E175" s="22">
        <v>260</v>
      </c>
      <c r="F175" s="13">
        <v>220</v>
      </c>
      <c r="G175" s="27">
        <f t="shared" si="46"/>
        <v>260</v>
      </c>
      <c r="H175" s="22">
        <v>20</v>
      </c>
      <c r="I175" s="26" t="s">
        <v>44</v>
      </c>
      <c r="J175" s="13">
        <v>245</v>
      </c>
      <c r="K175" s="13"/>
      <c r="L175" s="27">
        <f>IF(I175="",0,IF(K175&gt;0,0,IF(I175="A",H175,IF(I175="M",H175*12,IF(I175="W",H175*(Lookups!$B$9+1),IF(I175="B",H175*(+Lookups!$B$10),IF(I175="S",H175*2,IF(AND(H175=0,K175&gt;0),K175,"ERROR"))))))))</f>
        <v>240</v>
      </c>
      <c r="M175" s="22">
        <v>20</v>
      </c>
      <c r="N175" s="26" t="s">
        <v>44</v>
      </c>
      <c r="O175" s="13"/>
      <c r="P175" s="27">
        <f>IF(M175="",0,IF(O175&gt;0,0,IF(N175="A",M175,IF(N175="M",M175*12,IF(N175="W",M175*Lookups!B$9,IF(N175="B",M175*+Lookups!B$10,IF(N175="S",M175*2,IF(AND(M175=0,O175&gt;0),O175,"ERROR"))))))))</f>
        <v>240</v>
      </c>
      <c r="Q175" s="149">
        <f>IF(OR(AND(P175=0,H175=0),O175&gt;0),"",IF(AND(I175="W",N175="W"),ROUND(P175-(H175*Lookups!$B$9),0),ROUND(+P175-L175,0)))</f>
        <v>0</v>
      </c>
      <c r="R175" s="91" t="str">
        <f t="shared" si="42"/>
        <v>S</v>
      </c>
      <c r="S175" s="24">
        <v>40</v>
      </c>
      <c r="T175" s="179">
        <f t="shared" si="39"/>
        <v>0</v>
      </c>
      <c r="U175" s="175" t="str">
        <f t="shared" si="40"/>
        <v/>
      </c>
      <c r="V175" s="175" t="str">
        <f t="shared" si="36"/>
        <v/>
      </c>
      <c r="W175" s="13" t="str">
        <f t="shared" si="45"/>
        <v/>
      </c>
      <c r="X175" s="13"/>
      <c r="Y175" s="140"/>
    </row>
    <row r="176" spans="1:30" x14ac:dyDescent="0.35">
      <c r="B176" s="166" t="s">
        <v>189</v>
      </c>
      <c r="C176" s="4" t="s">
        <v>190</v>
      </c>
      <c r="D176" s="24">
        <v>1100</v>
      </c>
      <c r="E176" s="22">
        <v>1200</v>
      </c>
      <c r="F176" s="13">
        <v>900</v>
      </c>
      <c r="G176" s="27">
        <f t="shared" si="46"/>
        <v>1200</v>
      </c>
      <c r="H176" s="22"/>
      <c r="I176" s="26" t="s">
        <v>44</v>
      </c>
      <c r="J176" s="13">
        <v>1100</v>
      </c>
      <c r="K176" s="13">
        <v>1000</v>
      </c>
      <c r="L176" s="27">
        <f>IF(I176="",0,IF(K176&gt;0,0,IF(I176="A",H176,IF(I176="M",H176*12,IF(I176="W",H176*(Lookups!$B$9+1),IF(I176="B",H176*(+Lookups!$B$10),IF(I176="S",H176*2,IF(AND(H176=0,K176&gt;0),K176,"ERROR"))))))))</f>
        <v>0</v>
      </c>
      <c r="M176" s="22">
        <v>100</v>
      </c>
      <c r="N176" s="26" t="s">
        <v>44</v>
      </c>
      <c r="O176" s="13"/>
      <c r="P176" s="27">
        <f>IF(M176="",0,IF(O176&gt;0,0,IF(N176="A",M176,IF(N176="M",M176*12,IF(N176="W",M176*Lookups!B$9,IF(N176="B",M176*+Lookups!B$10,IF(N176="S",M176*2,IF(AND(M176=0,O176&gt;0),O176,"ERROR"))))))))</f>
        <v>1200</v>
      </c>
      <c r="Q176" s="149">
        <f>IF(OR(AND(P176=0,H176=0),O176&gt;0),"",IF(AND(I176="W",N176="W"),ROUND(P176-(H176*Lookups!$B$9),0),ROUND(+P176-L176,0)))</f>
        <v>1200</v>
      </c>
      <c r="R176" s="91" t="str">
        <f t="shared" si="42"/>
        <v>N</v>
      </c>
      <c r="S176" s="24">
        <v>200</v>
      </c>
      <c r="T176" s="179">
        <f t="shared" si="39"/>
        <v>0</v>
      </c>
      <c r="U176" s="175" t="str">
        <f t="shared" si="40"/>
        <v/>
      </c>
      <c r="V176" s="175" t="str">
        <f t="shared" si="36"/>
        <v/>
      </c>
      <c r="W176" s="13" t="str">
        <f t="shared" si="45"/>
        <v/>
      </c>
      <c r="X176" s="13"/>
      <c r="Y176" s="140"/>
    </row>
    <row r="177" spans="1:31" x14ac:dyDescent="0.35">
      <c r="A177" s="157" t="s">
        <v>650</v>
      </c>
      <c r="B177" s="28" t="s">
        <v>325</v>
      </c>
      <c r="C177" s="4" t="s">
        <v>326</v>
      </c>
      <c r="D177" s="24">
        <v>50</v>
      </c>
      <c r="E177" s="22"/>
      <c r="F177" s="13"/>
      <c r="G177" s="27">
        <f t="shared" si="46"/>
        <v>0</v>
      </c>
      <c r="H177" s="22"/>
      <c r="I177" s="26"/>
      <c r="J177" s="13">
        <v>100</v>
      </c>
      <c r="K177" s="13"/>
      <c r="L177" s="27">
        <f>IF(I177="",0,IF(K177&gt;0,0,IF(I177="A",H177,IF(I177="M",H177*12,IF(I177="W",H177*(Lookups!$B$9+1),IF(I177="B",H177*(+Lookups!$B$10),IF(I177="S",H177*2,IF(AND(H177=0,K177&gt;0),K177,"ERROR"))))))))</f>
        <v>0</v>
      </c>
      <c r="M177" s="22"/>
      <c r="N177" s="26"/>
      <c r="O177" s="13"/>
      <c r="P177" s="27">
        <f>IF(M177="",0,IF(O177&gt;0,0,IF(N177="A",M177,IF(N177="M",M177*12,IF(N177="W",M177*Lookups!B$9,IF(N177="B",M177*+Lookups!B$10,IF(N177="S",M177*2,IF(AND(M177=0,O177&gt;0),O177,"ERROR"))))))))</f>
        <v>0</v>
      </c>
      <c r="Q177" s="149" t="str">
        <f>IF(OR(AND(P177=0,H177=0),O177&gt;0),"",IF(AND(I177="W",N177="W"),ROUND(P177-(H177*Lookups!$B$9),0),ROUND(+P177-L177,0)))</f>
        <v/>
      </c>
      <c r="R177" s="91" t="str">
        <f t="shared" si="42"/>
        <v/>
      </c>
      <c r="S177" s="24">
        <v>90</v>
      </c>
      <c r="T177" s="179">
        <f t="shared" si="39"/>
        <v>0</v>
      </c>
      <c r="U177" s="175" t="str">
        <f t="shared" si="40"/>
        <v/>
      </c>
      <c r="V177" s="175" t="str">
        <f t="shared" si="36"/>
        <v/>
      </c>
      <c r="W177" s="13" t="str">
        <f t="shared" si="45"/>
        <v/>
      </c>
      <c r="X177" s="13"/>
      <c r="Y177" s="140"/>
    </row>
    <row r="178" spans="1:31" x14ac:dyDescent="0.35">
      <c r="B178" s="28" t="s">
        <v>191</v>
      </c>
      <c r="C178" s="4" t="s">
        <v>192</v>
      </c>
      <c r="D178" s="24">
        <v>3300</v>
      </c>
      <c r="E178" s="22">
        <v>3500</v>
      </c>
      <c r="F178" s="13">
        <v>2475</v>
      </c>
      <c r="G178" s="27">
        <f t="shared" si="46"/>
        <v>2475</v>
      </c>
      <c r="H178" s="22">
        <v>275</v>
      </c>
      <c r="I178" s="26" t="s">
        <v>44</v>
      </c>
      <c r="J178" s="13">
        <v>3300</v>
      </c>
      <c r="K178" s="13"/>
      <c r="L178" s="27">
        <f>IF(I178="",0,IF(K178&gt;0,0,IF(I178="A",H178,IF(I178="M",H178*12,IF(I178="W",H178*(Lookups!$B$9+1),IF(I178="B",H178*(+Lookups!$B$10),IF(I178="S",H178*2,IF(AND(H178=0,K178&gt;0),K178,"ERROR"))))))))</f>
        <v>3300</v>
      </c>
      <c r="M178" s="22">
        <v>275</v>
      </c>
      <c r="N178" s="26" t="s">
        <v>44</v>
      </c>
      <c r="O178" s="13"/>
      <c r="P178" s="27">
        <f>IF(M178="",0,IF(O178&gt;0,0,IF(N178="A",M178,IF(N178="M",M178*12,IF(N178="W",M178*Lookups!B$9,IF(N178="B",M178*+Lookups!B$10,IF(N178="S",M178*2,IF(AND(M178=0,O178&gt;0),O178,"ERROR"))))))))</f>
        <v>3300</v>
      </c>
      <c r="Q178" s="149">
        <f>IF(OR(AND(P178=0,H178=0),O178&gt;0),"",IF(AND(I178="W",N178="W"),ROUND(P178-(H178*Lookups!$B$9),0),ROUND(+P178-L178,0)))</f>
        <v>0</v>
      </c>
      <c r="R178" s="91" t="str">
        <f t="shared" si="42"/>
        <v>S</v>
      </c>
      <c r="S178" s="24">
        <v>550</v>
      </c>
      <c r="T178" s="179">
        <f t="shared" si="39"/>
        <v>0</v>
      </c>
      <c r="U178" s="175" t="str">
        <f t="shared" si="40"/>
        <v/>
      </c>
      <c r="V178" s="175" t="str">
        <f t="shared" si="36"/>
        <v/>
      </c>
      <c r="W178" s="13" t="str">
        <f t="shared" si="45"/>
        <v/>
      </c>
      <c r="X178" s="13"/>
      <c r="Y178" s="140"/>
      <c r="Z178" s="67" t="s">
        <v>487</v>
      </c>
      <c r="AA178" s="68" t="s">
        <v>488</v>
      </c>
      <c r="AB178" s="68" t="s">
        <v>402</v>
      </c>
      <c r="AC178" s="69" t="s">
        <v>403</v>
      </c>
      <c r="AD178" s="70">
        <v>53406</v>
      </c>
    </row>
    <row r="179" spans="1:31" x14ac:dyDescent="0.35">
      <c r="A179" s="157" t="s">
        <v>650</v>
      </c>
      <c r="B179" s="28" t="s">
        <v>327</v>
      </c>
      <c r="C179" s="4" t="s">
        <v>328</v>
      </c>
      <c r="D179" s="24">
        <v>50</v>
      </c>
      <c r="E179" s="22"/>
      <c r="F179" s="13"/>
      <c r="G179" s="27">
        <f t="shared" si="46"/>
        <v>0</v>
      </c>
      <c r="H179" s="22"/>
      <c r="I179" s="26"/>
      <c r="J179" s="13"/>
      <c r="K179" s="13"/>
      <c r="L179" s="27">
        <f>IF(I179="",0,IF(K179&gt;0,0,IF(I179="A",H179,IF(I179="M",H179*12,IF(I179="W",H179*(Lookups!$B$9+1),IF(I179="B",H179*(+Lookups!$B$10),IF(I179="S",H179*2,IF(AND(H179=0,K179&gt;0),K179,"ERROR"))))))))</f>
        <v>0</v>
      </c>
      <c r="M179" s="22"/>
      <c r="N179" s="26"/>
      <c r="O179" s="13"/>
      <c r="P179" s="27">
        <f>IF(M179="",0,IF(O179&gt;0,0,IF(N179="A",M179,IF(N179="M",M179*12,IF(N179="W",M179*Lookups!B$9,IF(N179="B",M179*+Lookups!B$10,IF(N179="S",M179*2,IF(AND(M179=0,O179&gt;0),O179,"ERROR"))))))))</f>
        <v>0</v>
      </c>
      <c r="Q179" s="149" t="str">
        <f>IF(OR(AND(P179=0,H179=0),O179&gt;0),"",IF(AND(I179="W",N179="W"),ROUND(P179-(H179*Lookups!$B$9),0),ROUND(+P179-L179,0)))</f>
        <v/>
      </c>
      <c r="R179" s="91" t="str">
        <f t="shared" si="42"/>
        <v/>
      </c>
      <c r="S179" s="24"/>
      <c r="T179" s="179" t="str">
        <f t="shared" si="39"/>
        <v/>
      </c>
      <c r="U179" s="175" t="str">
        <f t="shared" si="40"/>
        <v/>
      </c>
      <c r="V179" s="175" t="str">
        <f t="shared" si="36"/>
        <v/>
      </c>
      <c r="W179" s="13" t="str">
        <f t="shared" si="45"/>
        <v/>
      </c>
      <c r="X179" s="13"/>
      <c r="Y179" s="140"/>
    </row>
    <row r="180" spans="1:31" x14ac:dyDescent="0.35">
      <c r="B180" s="166" t="s">
        <v>193</v>
      </c>
      <c r="C180" s="4" t="s">
        <v>194</v>
      </c>
      <c r="D180" s="24">
        <v>1060</v>
      </c>
      <c r="E180" s="22">
        <v>1144</v>
      </c>
      <c r="F180" s="13">
        <v>858</v>
      </c>
      <c r="G180" s="27">
        <f t="shared" si="46"/>
        <v>1144</v>
      </c>
      <c r="H180" s="22">
        <v>22</v>
      </c>
      <c r="I180" s="26" t="s">
        <v>43</v>
      </c>
      <c r="J180" s="13">
        <v>1144</v>
      </c>
      <c r="K180" s="13"/>
      <c r="L180" s="27">
        <f>IF(I180="",0,IF(K180&gt;0,0,IF(I180="A",H180,IF(I180="M",H180*12,IF(I180="W",H180*(Lookups!$B$9+1),IF(I180="B",H180*(+Lookups!$B$10),IF(I180="S",H180*2,IF(AND(H180=0,K180&gt;0),K180,"ERROR"))))))))</f>
        <v>1166</v>
      </c>
      <c r="M180" s="22"/>
      <c r="N180" s="26"/>
      <c r="O180" s="13">
        <v>1000</v>
      </c>
      <c r="P180" s="27">
        <f>IF(M180="",0,IF(O180&gt;0,0,IF(N180="A",M180,IF(N180="M",M180*12,IF(N180="W",M180*Lookups!B$9,IF(N180="B",M180*+Lookups!B$10,IF(N180="S",M180*2,IF(AND(M180=0,O180&gt;0),O180,"ERROR"))))))))</f>
        <v>0</v>
      </c>
      <c r="Q180" s="149" t="str">
        <f>IF(OR(AND(P180=0,H180=0),O180&gt;0),"",IF(AND(I180="W",N180="W"),ROUND(P180-(H180*Lookups!$B$9),0),ROUND(+P180-L180,0)))</f>
        <v/>
      </c>
      <c r="R180" s="91" t="str">
        <f t="shared" si="42"/>
        <v>E</v>
      </c>
      <c r="S180" s="24">
        <v>176</v>
      </c>
      <c r="T180" s="179">
        <f t="shared" si="39"/>
        <v>1000</v>
      </c>
      <c r="U180" s="175" t="str">
        <f t="shared" si="40"/>
        <v/>
      </c>
      <c r="V180" s="175" t="str">
        <f t="shared" si="36"/>
        <v/>
      </c>
      <c r="W180" s="13" t="str">
        <f t="shared" si="45"/>
        <v/>
      </c>
      <c r="X180" s="13"/>
      <c r="Y180" s="140"/>
    </row>
    <row r="181" spans="1:31" x14ac:dyDescent="0.35">
      <c r="B181" s="28" t="s">
        <v>640</v>
      </c>
      <c r="C181" s="4" t="s">
        <v>641</v>
      </c>
      <c r="D181" s="24"/>
      <c r="E181" s="22"/>
      <c r="F181" s="13"/>
      <c r="G181" s="27">
        <f t="shared" si="46"/>
        <v>0</v>
      </c>
      <c r="H181" s="22"/>
      <c r="I181" s="26"/>
      <c r="J181" s="13">
        <v>750</v>
      </c>
      <c r="K181" s="13"/>
      <c r="L181" s="27">
        <f>IF(I181="",0,IF(K181&gt;0,0,IF(I181="A",H181,IF(I181="M",H181*12,IF(I181="W",H181*(Lookups!$B$9+1),IF(I181="B",H181*(+Lookups!$B$10),IF(I181="S",H181*2,IF(AND(H181=0,K181&gt;0),K181,"ERROR"))))))))</f>
        <v>0</v>
      </c>
      <c r="M181" s="22"/>
      <c r="N181" s="26"/>
      <c r="O181" s="13">
        <v>500</v>
      </c>
      <c r="P181" s="27">
        <f>IF(M181="",0,IF(O181&gt;0,0,IF(N181="A",M181,IF(N181="M",M181*12,IF(N181="W",M181*Lookups!B$9,IF(N181="B",M181*+Lookups!B$10,IF(N181="S",M181*2,IF(AND(M181=0,O181&gt;0),O181,"ERROR"))))))))</f>
        <v>0</v>
      </c>
      <c r="Q181" s="149" t="str">
        <f>IF(OR(AND(P181=0,H181=0),O181&gt;0),"",IF(AND(I181="W",N181="W"),ROUND(P181-(H181*Lookups!$B$9),0),ROUND(+P181-L181,0)))</f>
        <v/>
      </c>
      <c r="R181" s="91" t="str">
        <f t="shared" si="42"/>
        <v>E</v>
      </c>
      <c r="S181" s="24"/>
      <c r="T181" s="179" t="str">
        <f t="shared" si="39"/>
        <v/>
      </c>
      <c r="U181" s="175">
        <f t="shared" si="40"/>
        <v>500</v>
      </c>
      <c r="V181" s="175" t="str">
        <f t="shared" si="36"/>
        <v/>
      </c>
      <c r="W181" s="13" t="str">
        <f t="shared" si="45"/>
        <v/>
      </c>
      <c r="X181" s="13"/>
      <c r="Y181" s="140"/>
    </row>
    <row r="182" spans="1:31" x14ac:dyDescent="0.35">
      <c r="B182" s="28" t="s">
        <v>665</v>
      </c>
      <c r="C182" s="4" t="s">
        <v>666</v>
      </c>
      <c r="D182" s="24"/>
      <c r="E182" s="22"/>
      <c r="F182" s="13"/>
      <c r="G182" s="27">
        <f t="shared" ref="G182" si="47">IF(E182=0,F182,IF(AND(F182=0,J182="A"),E182,IF(F182&gt;E182,F182, IF(F182/E182&gt;0.73,E182,F182))))</f>
        <v>0</v>
      </c>
      <c r="H182" s="22"/>
      <c r="I182" s="26"/>
      <c r="J182" s="13">
        <v>20</v>
      </c>
      <c r="K182" s="13"/>
      <c r="L182" s="27">
        <f>IF(I182="",0,IF(K182&gt;0,0,IF(I182="A",H182,IF(I182="M",H182*12,IF(I182="W",H182*(Lookups!$B$9+1),IF(I182="B",H182*(+Lookups!$B$10),IF(I182="S",H182*2,IF(AND(H182=0,K182&gt;0),K182,"ERROR"))))))))</f>
        <v>0</v>
      </c>
      <c r="M182" s="22"/>
      <c r="N182" s="26"/>
      <c r="O182" s="13"/>
      <c r="P182" s="27">
        <f>IF(M182="",0,IF(O182&gt;0,0,IF(N182="A",M182,IF(N182="M",M182*12,IF(N182="W",M182*Lookups!B$9,IF(N182="B",M182*+Lookups!B$10,IF(N182="S",M182*2,IF(AND(M182=0,O182&gt;0),O182,"ERROR"))))))))</f>
        <v>0</v>
      </c>
      <c r="Q182" s="149" t="str">
        <f>IF(OR(AND(P182=0,H182=0),O182&gt;0),"",IF(AND(I182="W",N182="W"),ROUND(P182-(H182*Lookups!$B$9),0),ROUND(+P182-L182,0)))</f>
        <v/>
      </c>
      <c r="R182" s="91" t="str">
        <f t="shared" ref="R182" si="48">IF(AND(O182&gt;0,J182&gt;0),"E",IF(Q182="","",IF(Q182=0,"S",IF(AND(Q182&gt;0,NOT(H182=0)),"I",IF(AND(Q182&gt;0,H182=0),"N",IF(Q182&lt;0,"D","ERROR"))))))</f>
        <v/>
      </c>
      <c r="S182" s="24">
        <v>90</v>
      </c>
      <c r="T182" s="179">
        <f t="shared" si="39"/>
        <v>0</v>
      </c>
      <c r="U182" s="175" t="str">
        <f t="shared" si="40"/>
        <v/>
      </c>
      <c r="V182" s="175">
        <f t="shared" si="36"/>
        <v>540</v>
      </c>
      <c r="W182" s="13" t="str">
        <f t="shared" si="45"/>
        <v/>
      </c>
      <c r="X182" s="13"/>
      <c r="Y182" s="140"/>
    </row>
    <row r="183" spans="1:31" x14ac:dyDescent="0.35">
      <c r="B183" s="28" t="s">
        <v>195</v>
      </c>
      <c r="C183" s="4" t="s">
        <v>196</v>
      </c>
      <c r="D183" s="24">
        <v>1500</v>
      </c>
      <c r="E183" s="22">
        <v>1200</v>
      </c>
      <c r="F183" s="13">
        <v>800</v>
      </c>
      <c r="G183" s="27">
        <f t="shared" si="46"/>
        <v>800</v>
      </c>
      <c r="H183" s="22">
        <v>100</v>
      </c>
      <c r="I183" s="26" t="s">
        <v>44</v>
      </c>
      <c r="J183" s="13">
        <v>1400</v>
      </c>
      <c r="K183" s="13"/>
      <c r="L183" s="27">
        <f>IF(I183="",0,IF(K183&gt;0,0,IF(I183="A",H183,IF(I183="M",H183*12,IF(I183="W",H183*(Lookups!$B$9+1),IF(I183="B",H183*(+Lookups!$B$10),IF(I183="S",H183*2,IF(AND(H183=0,K183&gt;0),K183,"ERROR"))))))))</f>
        <v>1200</v>
      </c>
      <c r="M183" s="22">
        <v>100</v>
      </c>
      <c r="N183" s="26" t="s">
        <v>44</v>
      </c>
      <c r="O183" s="13"/>
      <c r="P183" s="27">
        <f>IF(M183="",0,IF(O183&gt;0,0,IF(N183="A",M183,IF(N183="M",M183*12,IF(N183="W",M183*Lookups!B$9,IF(N183="B",M183*+Lookups!B$10,IF(N183="S",M183*2,IF(AND(M183=0,O183&gt;0),O183,"ERROR"))))))))</f>
        <v>1200</v>
      </c>
      <c r="Q183" s="149">
        <f>IF(OR(AND(P183=0,H183=0),O183&gt;0),"",IF(AND(I183="W",N183="W"),ROUND(P183-(H183*Lookups!$B$9),0),ROUND(+P183-L183,0)))</f>
        <v>0</v>
      </c>
      <c r="R183" s="91" t="str">
        <f t="shared" si="42"/>
        <v>S</v>
      </c>
      <c r="S183" s="24">
        <v>200</v>
      </c>
      <c r="T183" s="179">
        <f t="shared" si="39"/>
        <v>0</v>
      </c>
      <c r="U183" s="175" t="str">
        <f t="shared" si="40"/>
        <v/>
      </c>
      <c r="V183" s="175" t="str">
        <f t="shared" si="36"/>
        <v/>
      </c>
      <c r="W183" s="13" t="str">
        <f t="shared" si="45"/>
        <v/>
      </c>
      <c r="X183" s="13"/>
      <c r="Y183" s="140"/>
      <c r="Z183" s="67" t="s">
        <v>613</v>
      </c>
      <c r="AA183" s="68" t="s">
        <v>489</v>
      </c>
      <c r="AB183" s="68" t="s">
        <v>428</v>
      </c>
      <c r="AC183" s="69" t="s">
        <v>403</v>
      </c>
      <c r="AD183" s="70">
        <v>53182</v>
      </c>
    </row>
    <row r="184" spans="1:31" x14ac:dyDescent="0.35">
      <c r="B184" s="28" t="s">
        <v>197</v>
      </c>
      <c r="C184" s="4" t="s">
        <v>615</v>
      </c>
      <c r="D184" s="24">
        <v>4275</v>
      </c>
      <c r="E184" s="22">
        <v>5980</v>
      </c>
      <c r="F184" s="13">
        <v>1840</v>
      </c>
      <c r="G184" s="27">
        <f t="shared" si="46"/>
        <v>1840</v>
      </c>
      <c r="H184" s="22"/>
      <c r="I184" s="26" t="s">
        <v>43</v>
      </c>
      <c r="J184" s="13">
        <v>2530</v>
      </c>
      <c r="K184" s="13">
        <v>2000</v>
      </c>
      <c r="L184" s="27">
        <f>IF(I184="",0,IF(K184&gt;0,0,IF(I184="A",H184,IF(I184="M",H184*12,IF(I184="W",H184*(Lookups!$B$9+1),IF(I184="B",H184*(+Lookups!$B$10),IF(I184="S",H184*2,IF(AND(H184=0,K184&gt;0),K184,"ERROR"))))))))</f>
        <v>0</v>
      </c>
      <c r="M184" s="22">
        <v>50</v>
      </c>
      <c r="N184" s="26" t="s">
        <v>43</v>
      </c>
      <c r="O184" s="13"/>
      <c r="P184" s="27">
        <f>IF(M184="",0,IF(O184&gt;0,0,IF(N184="A",M184,IF(N184="M",M184*12,IF(N184="W",M184*Lookups!B$9,IF(N184="B",M184*+Lookups!B$10,IF(N184="S",M184*2,IF(AND(M184=0,O184&gt;0),O184,"ERROR"))))))))</f>
        <v>2600</v>
      </c>
      <c r="Q184" s="149">
        <f>IF(OR(AND(P184=0,H184=0),O184&gt;0),"",IF(AND(I184="W",N184="W"),ROUND(P184-(H184*Lookups!$B$9),0),ROUND(+P184-L184,0)))</f>
        <v>2600</v>
      </c>
      <c r="R184" s="91" t="str">
        <f t="shared" si="42"/>
        <v>N</v>
      </c>
      <c r="S184" s="24">
        <v>200</v>
      </c>
      <c r="T184" s="179">
        <f t="shared" si="39"/>
        <v>0</v>
      </c>
      <c r="U184" s="175" t="str">
        <f t="shared" si="40"/>
        <v/>
      </c>
      <c r="V184" s="175" t="str">
        <f t="shared" si="36"/>
        <v/>
      </c>
      <c r="W184" s="13" t="str">
        <f t="shared" si="45"/>
        <v/>
      </c>
      <c r="X184" s="13"/>
      <c r="Y184" s="140"/>
      <c r="Z184" s="67" t="s">
        <v>614</v>
      </c>
      <c r="AA184" s="68" t="s">
        <v>616</v>
      </c>
      <c r="AB184" s="68" t="s">
        <v>420</v>
      </c>
      <c r="AC184" s="69" t="s">
        <v>403</v>
      </c>
      <c r="AD184" s="70">
        <v>53108</v>
      </c>
    </row>
    <row r="185" spans="1:31" x14ac:dyDescent="0.35">
      <c r="B185" s="28" t="s">
        <v>198</v>
      </c>
      <c r="C185" s="4" t="s">
        <v>667</v>
      </c>
      <c r="D185" s="24"/>
      <c r="E185" s="22">
        <v>480</v>
      </c>
      <c r="F185" s="13">
        <v>450</v>
      </c>
      <c r="G185" s="27">
        <f t="shared" ref="G185" si="49">IF(E185=0,F185,IF(AND(F185=0,J185="A"),E185,IF(F185&gt;E185,F185, IF(F185/E185&gt;0.73,E185,F185))))</f>
        <v>480</v>
      </c>
      <c r="H185" s="22"/>
      <c r="I185" s="26" t="s">
        <v>44</v>
      </c>
      <c r="J185" s="13"/>
      <c r="K185" s="13">
        <v>400</v>
      </c>
      <c r="L185" s="27">
        <f>IF(I185="",0,IF(K185&gt;0,0,IF(I185="A",H185,IF(I185="M",H185*12,IF(I185="W",H185*(Lookups!$B$9+1),IF(I185="B",H185*(+Lookups!$B$10),IF(I185="S",H185*2,IF(AND(H185=0,K185&gt;0),K185,"ERROR"))))))))</f>
        <v>0</v>
      </c>
      <c r="M185" s="22"/>
      <c r="N185" s="26"/>
      <c r="O185" s="13"/>
      <c r="P185" s="27">
        <f>IF(M185="",0,IF(O185&gt;0,0,IF(N185="A",M185,IF(N185="M",M185*12,IF(N185="W",M185*Lookups!B$9,IF(N185="B",M185*+Lookups!B$10,IF(N185="S",M185*2,IF(AND(M185=0,O185&gt;0),O185,"ERROR"))))))))</f>
        <v>0</v>
      </c>
      <c r="Q185" s="149" t="str">
        <f>IF(OR(AND(P185=0,H185=0),O185&gt;0),"",IF(AND(I185="W",N185="W"),ROUND(P185-(H185*Lookups!$B$9),0),ROUND(+P185-L185,0)))</f>
        <v/>
      </c>
      <c r="R185" s="91" t="str">
        <f t="shared" ref="R185" si="50">IF(AND(O185&gt;0,J185&gt;0),"E",IF(Q185="","",IF(Q185=0,"S",IF(AND(Q185&gt;0,NOT(H185=0)),"I",IF(AND(Q185&gt;0,H185=0),"N",IF(Q185&lt;0,"D","ERROR"))))))</f>
        <v/>
      </c>
      <c r="S185" s="24">
        <v>100</v>
      </c>
      <c r="T185" s="179" t="str">
        <f t="shared" si="39"/>
        <v/>
      </c>
      <c r="U185" s="175" t="str">
        <f t="shared" si="40"/>
        <v/>
      </c>
      <c r="V185" s="175">
        <f t="shared" si="36"/>
        <v>600</v>
      </c>
      <c r="W185" s="13" t="str">
        <f t="shared" si="45"/>
        <v/>
      </c>
      <c r="X185" s="13"/>
      <c r="Y185" s="140"/>
    </row>
    <row r="186" spans="1:31" x14ac:dyDescent="0.35">
      <c r="A186" s="157" t="s">
        <v>650</v>
      </c>
      <c r="B186" s="28" t="s">
        <v>198</v>
      </c>
      <c r="C186" s="4" t="s">
        <v>199</v>
      </c>
      <c r="D186" s="24">
        <v>200</v>
      </c>
      <c r="E186" s="22">
        <v>480</v>
      </c>
      <c r="F186" s="13">
        <v>450</v>
      </c>
      <c r="G186" s="27">
        <f t="shared" si="46"/>
        <v>480</v>
      </c>
      <c r="H186" s="22"/>
      <c r="I186" s="26" t="s">
        <v>44</v>
      </c>
      <c r="J186" s="13"/>
      <c r="K186" s="13">
        <v>400</v>
      </c>
      <c r="L186" s="27">
        <f>IF(I186="",0,IF(K186&gt;0,0,IF(I186="A",H186,IF(I186="M",H186*12,IF(I186="W",H186*(Lookups!$B$9+1),IF(I186="B",H186*(+Lookups!$B$10),IF(I186="S",H186*2,IF(AND(H186=0,K186&gt;0),K186,"ERROR"))))))))</f>
        <v>0</v>
      </c>
      <c r="M186" s="22"/>
      <c r="N186" s="26"/>
      <c r="O186" s="13"/>
      <c r="P186" s="27">
        <f>IF(M186="",0,IF(O186&gt;0,0,IF(N186="A",M186,IF(N186="M",M186*12,IF(N186="W",M186*Lookups!B$9,IF(N186="B",M186*+Lookups!B$10,IF(N186="S",M186*2,IF(AND(M186=0,O186&gt;0),O186,"ERROR"))))))))</f>
        <v>0</v>
      </c>
      <c r="Q186" s="149" t="str">
        <f>IF(OR(AND(P186=0,H186=0),O186&gt;0),"",IF(AND(I186="W",N186="W"),ROUND(P186-(H186*Lookups!$B$9),0),ROUND(+P186-L186,0)))</f>
        <v/>
      </c>
      <c r="R186" s="91" t="str">
        <f t="shared" si="42"/>
        <v/>
      </c>
      <c r="S186" s="24"/>
      <c r="T186" s="179" t="str">
        <f t="shared" si="39"/>
        <v/>
      </c>
      <c r="U186" s="175" t="str">
        <f t="shared" si="40"/>
        <v/>
      </c>
      <c r="V186" s="175" t="str">
        <f t="shared" si="36"/>
        <v/>
      </c>
      <c r="W186" s="13" t="str">
        <f t="shared" si="45"/>
        <v/>
      </c>
      <c r="X186" s="13"/>
      <c r="Y186" s="140"/>
    </row>
    <row r="187" spans="1:31" x14ac:dyDescent="0.35">
      <c r="A187" s="157" t="s">
        <v>650</v>
      </c>
      <c r="B187" s="28" t="s">
        <v>329</v>
      </c>
      <c r="C187" s="4" t="s">
        <v>330</v>
      </c>
      <c r="D187" s="24">
        <v>1600</v>
      </c>
      <c r="E187" s="22"/>
      <c r="F187" s="13"/>
      <c r="G187" s="27">
        <f t="shared" si="46"/>
        <v>0</v>
      </c>
      <c r="H187" s="22"/>
      <c r="I187" s="26"/>
      <c r="J187" s="13"/>
      <c r="K187" s="13"/>
      <c r="L187" s="27">
        <f>IF(I187="",0,IF(K187&gt;0,0,IF(I187="A",H187,IF(I187="M",H187*12,IF(I187="W",H187*(Lookups!$B$9+1),IF(I187="B",H187*(+Lookups!$B$10),IF(I187="S",H187*2,IF(AND(H187=0,K187&gt;0),K187,"ERROR"))))))))</f>
        <v>0</v>
      </c>
      <c r="M187" s="22"/>
      <c r="N187" s="26"/>
      <c r="O187" s="13"/>
      <c r="P187" s="27">
        <f>IF(M187="",0,IF(O187&gt;0,0,IF(N187="A",M187,IF(N187="M",M187*12,IF(N187="W",M187*Lookups!B$9,IF(N187="B",M187*+Lookups!B$10,IF(N187="S",M187*2,IF(AND(M187=0,O187&gt;0),O187,"ERROR"))))))))</f>
        <v>0</v>
      </c>
      <c r="Q187" s="149" t="str">
        <f>IF(OR(AND(P187=0,H187=0),O187&gt;0),"",IF(AND(I187="W",N187="W"),ROUND(P187-(H187*Lookups!$B$9),0),ROUND(+P187-L187,0)))</f>
        <v/>
      </c>
      <c r="R187" s="91" t="str">
        <f t="shared" si="42"/>
        <v/>
      </c>
      <c r="S187" s="24"/>
      <c r="T187" s="179" t="str">
        <f t="shared" si="39"/>
        <v/>
      </c>
      <c r="U187" s="175" t="str">
        <f t="shared" si="40"/>
        <v/>
      </c>
      <c r="V187" s="175" t="str">
        <f t="shared" si="36"/>
        <v/>
      </c>
      <c r="W187" s="13" t="str">
        <f t="shared" si="45"/>
        <v/>
      </c>
      <c r="X187" s="13"/>
      <c r="Y187" s="140"/>
    </row>
    <row r="188" spans="1:31" x14ac:dyDescent="0.35">
      <c r="A188" s="157" t="s">
        <v>650</v>
      </c>
      <c r="B188" s="28" t="s">
        <v>331</v>
      </c>
      <c r="C188" s="4" t="s">
        <v>332</v>
      </c>
      <c r="D188" s="24">
        <v>345</v>
      </c>
      <c r="E188" s="22"/>
      <c r="F188" s="13">
        <v>425</v>
      </c>
      <c r="G188" s="27">
        <f t="shared" si="46"/>
        <v>425</v>
      </c>
      <c r="H188" s="22"/>
      <c r="I188" s="26"/>
      <c r="J188" s="13"/>
      <c r="K188" s="13"/>
      <c r="L188" s="27">
        <f>IF(I188="",0,IF(K188&gt;0,0,IF(I188="A",H188,IF(I188="M",H188*12,IF(I188="W",H188*(Lookups!$B$9+1),IF(I188="B",H188*(+Lookups!$B$10),IF(I188="S",H188*2,IF(AND(H188=0,K188&gt;0),K188,"ERROR"))))))))</f>
        <v>0</v>
      </c>
      <c r="M188" s="22"/>
      <c r="N188" s="26"/>
      <c r="O188" s="13"/>
      <c r="P188" s="27">
        <f>IF(M188="",0,IF(O188&gt;0,0,IF(N188="A",M188,IF(N188="M",M188*12,IF(N188="W",M188*Lookups!B$9,IF(N188="B",M188*+Lookups!B$10,IF(N188="S",M188*2,IF(AND(M188=0,O188&gt;0),O188,"ERROR"))))))))</f>
        <v>0</v>
      </c>
      <c r="Q188" s="149" t="str">
        <f>IF(OR(AND(P188=0,H188=0),O188&gt;0),"",IF(AND(I188="W",N188="W"),ROUND(P188-(H188*Lookups!$B$9),0),ROUND(+P188-L188,0)))</f>
        <v/>
      </c>
      <c r="R188" s="91" t="str">
        <f t="shared" si="42"/>
        <v/>
      </c>
      <c r="S188" s="24"/>
      <c r="T188" s="179" t="str">
        <f t="shared" si="39"/>
        <v/>
      </c>
      <c r="U188" s="175" t="str">
        <f t="shared" si="40"/>
        <v/>
      </c>
      <c r="V188" s="175" t="str">
        <f t="shared" si="36"/>
        <v/>
      </c>
      <c r="W188" s="13" t="str">
        <f t="shared" si="45"/>
        <v/>
      </c>
      <c r="X188" s="13"/>
      <c r="Y188" s="140"/>
    </row>
    <row r="189" spans="1:31" s="150" customFormat="1" x14ac:dyDescent="0.35">
      <c r="A189" s="167"/>
      <c r="B189" s="85" t="s">
        <v>333</v>
      </c>
      <c r="C189" s="86" t="s">
        <v>334</v>
      </c>
      <c r="D189" s="107">
        <v>700</v>
      </c>
      <c r="E189" s="88"/>
      <c r="F189" s="87">
        <v>480</v>
      </c>
      <c r="G189" s="89">
        <f t="shared" si="46"/>
        <v>480</v>
      </c>
      <c r="H189" s="88"/>
      <c r="I189" s="90"/>
      <c r="J189" s="87">
        <v>720</v>
      </c>
      <c r="K189" s="87"/>
      <c r="L189" s="89">
        <f>IF(I189="",0,IF(K189&gt;0,0,IF(I189="A",H189,IF(I189="M",H189*12,IF(I189="W",H189*(Lookups!$B$9+1),IF(I189="B",H189*(+Lookups!$B$10),IF(I189="S",H189*2,IF(AND(H189=0,K189&gt;0),K189,"ERROR"))))))))</f>
        <v>0</v>
      </c>
      <c r="M189" s="88"/>
      <c r="N189" s="90"/>
      <c r="O189" s="87">
        <v>700</v>
      </c>
      <c r="P189" s="89">
        <f>IF(M189="",0,IF(O189&gt;0,0,IF(N189="A",M189,IF(N189="M",M189*12,IF(N189="W",M189*Lookups!B$9,IF(N189="B",M189*+Lookups!B$10,IF(N189="S",M189*2,IF(AND(M189=0,O189&gt;0),O189,"ERROR"))))))))</f>
        <v>0</v>
      </c>
      <c r="Q189" s="149" t="str">
        <f>IF(OR(AND(P189=0,H189=0),O189&gt;0),"",IF(AND(I189="W",N189="W"),ROUND(P189-(H189*Lookups!$B$9),0),ROUND(+P189-L189,0)))</f>
        <v/>
      </c>
      <c r="R189" s="91" t="str">
        <f t="shared" si="42"/>
        <v>E</v>
      </c>
      <c r="S189" s="107">
        <v>160</v>
      </c>
      <c r="T189" s="181">
        <f t="shared" si="39"/>
        <v>700</v>
      </c>
      <c r="U189" s="177" t="str">
        <f t="shared" si="40"/>
        <v/>
      </c>
      <c r="V189" s="177" t="str">
        <f t="shared" si="36"/>
        <v/>
      </c>
      <c r="W189" s="87" t="str">
        <f t="shared" si="45"/>
        <v/>
      </c>
      <c r="X189" s="87"/>
      <c r="Y189" s="142"/>
      <c r="Z189" s="168" t="s">
        <v>490</v>
      </c>
      <c r="AA189" s="92" t="s">
        <v>491</v>
      </c>
      <c r="AB189" s="92" t="s">
        <v>492</v>
      </c>
      <c r="AC189" s="93" t="s">
        <v>403</v>
      </c>
      <c r="AD189" s="94">
        <v>54495</v>
      </c>
      <c r="AE189" s="92" t="s">
        <v>493</v>
      </c>
    </row>
    <row r="190" spans="1:31" x14ac:dyDescent="0.35">
      <c r="B190" s="28" t="s">
        <v>200</v>
      </c>
      <c r="C190" s="4" t="s">
        <v>201</v>
      </c>
      <c r="D190" s="24">
        <v>492</v>
      </c>
      <c r="E190" s="22">
        <v>260</v>
      </c>
      <c r="F190" s="13">
        <v>388</v>
      </c>
      <c r="G190" s="27">
        <f t="shared" si="46"/>
        <v>388</v>
      </c>
      <c r="H190" s="22">
        <v>7</v>
      </c>
      <c r="I190" s="26" t="s">
        <v>43</v>
      </c>
      <c r="J190" s="13">
        <v>530</v>
      </c>
      <c r="K190" s="13"/>
      <c r="L190" s="27">
        <f>IF(I190="",0,IF(K190&gt;0,0,IF(I190="A",H190,IF(I190="M",H190*12,IF(I190="W",H190*(Lookups!$B$9+1),IF(I190="B",H190*(+Lookups!$B$10),IF(I190="S",H190*2,IF(AND(H190=0,K190&gt;0),K190,"ERROR"))))))))</f>
        <v>371</v>
      </c>
      <c r="M190" s="22">
        <v>10</v>
      </c>
      <c r="N190" s="26" t="s">
        <v>43</v>
      </c>
      <c r="O190" s="13"/>
      <c r="P190" s="27">
        <f>IF(M190="",0,IF(O190&gt;0,0,IF(N190="A",M190,IF(N190="M",M190*12,IF(N190="W",M190*Lookups!B$9,IF(N190="B",M190*+Lookups!B$10,IF(N190="S",M190*2,IF(AND(M190=0,O190&gt;0),O190,"ERROR"))))))))</f>
        <v>520</v>
      </c>
      <c r="Q190" s="149">
        <f>IF(OR(AND(P190=0,H190=0),O190&gt;0),"",IF(AND(I190="W",N190="W"),ROUND(P190-(H190*Lookups!$B$9),0),ROUND(+P190-L190,0)))</f>
        <v>156</v>
      </c>
      <c r="R190" s="91" t="str">
        <f t="shared" si="42"/>
        <v>I</v>
      </c>
      <c r="S190" s="24">
        <v>80</v>
      </c>
      <c r="T190" s="179">
        <f t="shared" si="39"/>
        <v>0</v>
      </c>
      <c r="U190" s="175" t="str">
        <f t="shared" si="40"/>
        <v/>
      </c>
      <c r="V190" s="175" t="str">
        <f t="shared" si="36"/>
        <v/>
      </c>
      <c r="W190" s="13" t="str">
        <f t="shared" si="45"/>
        <v/>
      </c>
      <c r="X190" s="13"/>
      <c r="Y190" s="140"/>
      <c r="AA190" s="68" t="s">
        <v>496</v>
      </c>
      <c r="AB190" s="68" t="s">
        <v>426</v>
      </c>
      <c r="AC190" s="69" t="s">
        <v>403</v>
      </c>
      <c r="AD190" s="70">
        <v>53405</v>
      </c>
    </row>
    <row r="191" spans="1:31" s="150" customFormat="1" x14ac:dyDescent="0.35">
      <c r="A191" s="167"/>
      <c r="B191" s="85" t="s">
        <v>335</v>
      </c>
      <c r="C191" s="86" t="s">
        <v>336</v>
      </c>
      <c r="D191" s="107">
        <v>600</v>
      </c>
      <c r="E191" s="88"/>
      <c r="F191" s="87"/>
      <c r="G191" s="89">
        <f t="shared" si="46"/>
        <v>0</v>
      </c>
      <c r="H191" s="88"/>
      <c r="I191" s="90"/>
      <c r="J191" s="87">
        <v>350</v>
      </c>
      <c r="K191" s="87"/>
      <c r="L191" s="89">
        <f>IF(I191="",0,IF(K191&gt;0,0,IF(I191="A",H191,IF(I191="M",H191*12,IF(I191="W",H191*(Lookups!$B$9+1),IF(I191="B",H191*(+Lookups!$B$10),IF(I191="S",H191*2,IF(AND(H191=0,K191&gt;0),K191,"ERROR"))))))))</f>
        <v>0</v>
      </c>
      <c r="M191" s="88"/>
      <c r="N191" s="90"/>
      <c r="O191" s="87">
        <v>300</v>
      </c>
      <c r="P191" s="89">
        <f>IF(M191="",0,IF(O191&gt;0,0,IF(N191="A",M191,IF(N191="M",M191*12,IF(N191="W",M191*Lookups!B$9,IF(N191="B",M191*+Lookups!B$10,IF(N191="S",M191*2,IF(AND(M191=0,O191&gt;0),O191,"ERROR"))))))))</f>
        <v>0</v>
      </c>
      <c r="Q191" s="149" t="str">
        <f>IF(OR(AND(P191=0,H191=0),O191&gt;0),"",IF(AND(I191="W",N191="W"),ROUND(P191-(H191*Lookups!$B$9),0),ROUND(+P191-L191,0)))</f>
        <v/>
      </c>
      <c r="R191" s="91" t="str">
        <f t="shared" si="42"/>
        <v>E</v>
      </c>
      <c r="S191" s="107">
        <v>210</v>
      </c>
      <c r="T191" s="181">
        <f t="shared" si="39"/>
        <v>300</v>
      </c>
      <c r="U191" s="177" t="str">
        <f t="shared" si="40"/>
        <v/>
      </c>
      <c r="V191" s="177" t="str">
        <f t="shared" si="36"/>
        <v/>
      </c>
      <c r="W191" s="87" t="str">
        <f t="shared" si="45"/>
        <v/>
      </c>
      <c r="X191" s="87"/>
      <c r="Y191" s="142"/>
      <c r="Z191" s="92" t="s">
        <v>514</v>
      </c>
      <c r="AA191" s="92"/>
      <c r="AB191" s="92"/>
      <c r="AC191" s="93"/>
      <c r="AD191" s="94"/>
    </row>
    <row r="192" spans="1:31" x14ac:dyDescent="0.35">
      <c r="B192" s="166" t="s">
        <v>337</v>
      </c>
      <c r="C192" s="4" t="s">
        <v>338</v>
      </c>
      <c r="D192" s="24">
        <v>600</v>
      </c>
      <c r="E192" s="22"/>
      <c r="F192" s="13"/>
      <c r="G192" s="27">
        <f t="shared" si="46"/>
        <v>0</v>
      </c>
      <c r="H192" s="22">
        <v>600</v>
      </c>
      <c r="I192" s="26" t="s">
        <v>40</v>
      </c>
      <c r="J192" s="13">
        <v>600</v>
      </c>
      <c r="K192" s="13"/>
      <c r="L192" s="27">
        <f>IF(I192="",0,IF(K192&gt;0,0,IF(I192="A",H192,IF(I192="M",H192*12,IF(I192="W",H192*(Lookups!$B$9+1),IF(I192="B",H192*(+Lookups!$B$10),IF(I192="S",H192*2,IF(AND(H192=0,K192&gt;0),K192,"ERROR"))))))))</f>
        <v>600</v>
      </c>
      <c r="M192" s="22"/>
      <c r="N192" s="26"/>
      <c r="O192" s="13">
        <v>600</v>
      </c>
      <c r="P192" s="27">
        <f>IF(M192="",0,IF(O192&gt;0,0,IF(N192="A",M192,IF(N192="M",M192*12,IF(N192="W",M192*Lookups!B$9,IF(N192="B",M192*+Lookups!B$10,IF(N192="S",M192*2,IF(AND(M192=0,O192&gt;0),O192,"ERROR"))))))))</f>
        <v>0</v>
      </c>
      <c r="Q192" s="149" t="str">
        <f>IF(OR(AND(P192=0,H192=0),O192&gt;0),"",IF(AND(I192="W",N192="W"),ROUND(P192-(H192*Lookups!$B$9),0),ROUND(+P192-L192,0)))</f>
        <v/>
      </c>
      <c r="R192" s="91" t="str">
        <f t="shared" si="42"/>
        <v>E</v>
      </c>
      <c r="S192" s="24">
        <v>200</v>
      </c>
      <c r="T192" s="179">
        <f t="shared" si="39"/>
        <v>600</v>
      </c>
      <c r="U192" s="175" t="str">
        <f t="shared" si="40"/>
        <v/>
      </c>
      <c r="V192" s="175" t="str">
        <f t="shared" si="36"/>
        <v/>
      </c>
      <c r="W192" s="13" t="str">
        <f t="shared" si="45"/>
        <v/>
      </c>
      <c r="X192" s="13"/>
      <c r="Y192" s="140"/>
    </row>
    <row r="193" spans="1:30" x14ac:dyDescent="0.35">
      <c r="A193" s="157" t="s">
        <v>650</v>
      </c>
      <c r="B193" s="169" t="s">
        <v>337</v>
      </c>
      <c r="C193" s="128" t="s">
        <v>339</v>
      </c>
      <c r="D193" s="146">
        <v>502</v>
      </c>
      <c r="E193" s="130"/>
      <c r="F193" s="129"/>
      <c r="G193" s="131">
        <f t="shared" si="46"/>
        <v>0</v>
      </c>
      <c r="H193" s="130"/>
      <c r="I193" s="132"/>
      <c r="J193" s="129"/>
      <c r="K193" s="129"/>
      <c r="L193" s="131">
        <f>IF(I193="",0,IF(K193&gt;0,0,IF(I193="A",H193,IF(I193="M",H193*12,IF(I193="W",H193*(Lookups!$B$9+1),IF(I193="B",H193*(+Lookups!$B$10),IF(I193="S",H193*2,IF(AND(H193=0,K193&gt;0),K193,"ERROR"))))))))</f>
        <v>0</v>
      </c>
      <c r="M193" s="130"/>
      <c r="N193" s="132"/>
      <c r="O193" s="129"/>
      <c r="P193" s="131">
        <f>IF(M193="",0,IF(O193&gt;0,0,IF(N193="A",M193,IF(N193="M",M193*12,IF(N193="W",M193*Lookups!B$9,IF(N193="B",M193*+Lookups!B$10,IF(N193="S",M193*2,IF(AND(M193=0,O193&gt;0),O193,"ERROR"))))))))</f>
        <v>0</v>
      </c>
      <c r="Q193" s="101" t="str">
        <f>IF(OR(AND(P193=0,H193=0),O193&gt;0),"",IF(AND(I193="W",N193="W"),ROUND(P193-(H193*Lookups!$B$9),0),ROUND(+P193-L193,0)))</f>
        <v/>
      </c>
      <c r="R193" s="102" t="str">
        <f t="shared" si="42"/>
        <v/>
      </c>
      <c r="S193" s="146"/>
      <c r="T193" s="180" t="str">
        <f t="shared" si="39"/>
        <v/>
      </c>
      <c r="U193" s="176" t="str">
        <f t="shared" si="40"/>
        <v/>
      </c>
      <c r="V193" s="176" t="str">
        <f t="shared" si="36"/>
        <v/>
      </c>
      <c r="W193" s="129" t="str">
        <f t="shared" si="45"/>
        <v/>
      </c>
      <c r="X193" s="129"/>
      <c r="Y193" s="141"/>
      <c r="Z193" s="133" t="s">
        <v>510</v>
      </c>
      <c r="AA193" s="133"/>
      <c r="AB193" s="133"/>
      <c r="AC193" s="134"/>
      <c r="AD193" s="135"/>
    </row>
    <row r="194" spans="1:30" x14ac:dyDescent="0.35">
      <c r="B194" s="166" t="s">
        <v>340</v>
      </c>
      <c r="C194" s="4" t="s">
        <v>341</v>
      </c>
      <c r="D194" s="24">
        <v>4100</v>
      </c>
      <c r="E194" s="22"/>
      <c r="F194" s="13">
        <v>3600</v>
      </c>
      <c r="G194" s="27">
        <f t="shared" si="46"/>
        <v>3600</v>
      </c>
      <c r="H194" s="22">
        <v>110</v>
      </c>
      <c r="I194" s="26" t="s">
        <v>43</v>
      </c>
      <c r="J194" s="13">
        <v>5060</v>
      </c>
      <c r="K194" s="13"/>
      <c r="L194" s="27">
        <f>IF(I194="",0,IF(K194&gt;0,0,IF(I194="A",H194,IF(I194="M",H194*12,IF(I194="W",H194*(Lookups!$B$9+1),IF(I194="B",H194*(+Lookups!$B$10),IF(I194="S",H194*2,IF(AND(H194=0,K194&gt;0),K194,"ERROR"))))))))</f>
        <v>5830</v>
      </c>
      <c r="M194" s="22"/>
      <c r="N194" s="26"/>
      <c r="O194" s="13">
        <v>5000</v>
      </c>
      <c r="P194" s="27">
        <f>IF(M194="",0,IF(O194&gt;0,0,IF(N194="A",M194,IF(N194="M",M194*12,IF(N194="W",M194*Lookups!B$9,IF(N194="B",M194*+Lookups!B$10,IF(N194="S",M194*2,IF(AND(M194=0,O194&gt;0),O194,"ERROR"))))))))</f>
        <v>0</v>
      </c>
      <c r="Q194" s="149" t="str">
        <f>IF(OR(AND(P194=0,H194=0),O194&gt;0),"",IF(AND(I194="W",N194="W"),ROUND(P194-(H194*Lookups!$B$9),0),ROUND(+P194-L194,0)))</f>
        <v/>
      </c>
      <c r="R194" s="91" t="str">
        <f t="shared" si="42"/>
        <v>E</v>
      </c>
      <c r="S194" s="24">
        <v>660</v>
      </c>
      <c r="T194" s="179">
        <f t="shared" si="39"/>
        <v>5000</v>
      </c>
      <c r="U194" s="175" t="str">
        <f t="shared" si="40"/>
        <v/>
      </c>
      <c r="V194" s="175" t="str">
        <f t="shared" si="36"/>
        <v/>
      </c>
      <c r="W194" s="13" t="str">
        <f t="shared" si="45"/>
        <v/>
      </c>
      <c r="X194" s="13"/>
      <c r="Y194" s="140"/>
    </row>
    <row r="195" spans="1:30" x14ac:dyDescent="0.35">
      <c r="A195" s="157" t="s">
        <v>650</v>
      </c>
      <c r="B195" s="166" t="s">
        <v>202</v>
      </c>
      <c r="C195" s="4" t="s">
        <v>203</v>
      </c>
      <c r="D195" s="24">
        <v>60</v>
      </c>
      <c r="E195" s="22">
        <v>240</v>
      </c>
      <c r="F195" s="13">
        <v>40</v>
      </c>
      <c r="G195" s="27">
        <f t="shared" si="46"/>
        <v>40</v>
      </c>
      <c r="H195" s="22"/>
      <c r="I195" s="26" t="s">
        <v>44</v>
      </c>
      <c r="J195" s="13">
        <v>25</v>
      </c>
      <c r="K195" s="13"/>
      <c r="L195" s="27">
        <f>IF(I195="",0,IF(K195&gt;0,0,IF(I195="A",H195,IF(I195="M",H195*12,IF(I195="W",H195*(Lookups!$B$9+1),IF(I195="B",H195*(+Lookups!$B$10),IF(I195="S",H195*2,IF(AND(H195=0,K195&gt;0),K195,"ERROR"))))))))</f>
        <v>0</v>
      </c>
      <c r="M195" s="22"/>
      <c r="N195" s="26"/>
      <c r="O195" s="13"/>
      <c r="P195" s="27">
        <f>IF(M195="",0,IF(O195&gt;0,0,IF(N195="A",M195,IF(N195="M",M195*12,IF(N195="W",M195*Lookups!B$9,IF(N195="B",M195*+Lookups!B$10,IF(N195="S",M195*2,IF(AND(M195=0,O195&gt;0),O195,"ERROR"))))))))</f>
        <v>0</v>
      </c>
      <c r="Q195" s="149" t="str">
        <f>IF(OR(AND(P195=0,H195=0),O195&gt;0),"",IF(AND(I195="W",N195="W"),ROUND(P195-(H195*Lookups!$B$9),0),ROUND(+P195-L195,0)))</f>
        <v/>
      </c>
      <c r="R195" s="91" t="str">
        <f t="shared" si="42"/>
        <v/>
      </c>
      <c r="S195" s="24"/>
      <c r="T195" s="179" t="str">
        <f t="shared" si="39"/>
        <v/>
      </c>
      <c r="U195" s="175">
        <f t="shared" si="40"/>
        <v>0</v>
      </c>
      <c r="V195" s="175" t="str">
        <f t="shared" si="36"/>
        <v/>
      </c>
      <c r="W195" s="13" t="str">
        <f t="shared" si="45"/>
        <v/>
      </c>
      <c r="X195" s="13"/>
      <c r="Y195" s="140"/>
    </row>
    <row r="196" spans="1:30" x14ac:dyDescent="0.35">
      <c r="A196" s="157" t="s">
        <v>650</v>
      </c>
      <c r="B196" s="127" t="s">
        <v>342</v>
      </c>
      <c r="C196" s="128" t="s">
        <v>343</v>
      </c>
      <c r="D196" s="146">
        <v>500</v>
      </c>
      <c r="E196" s="130"/>
      <c r="F196" s="129"/>
      <c r="G196" s="131">
        <f t="shared" si="46"/>
        <v>0</v>
      </c>
      <c r="H196" s="130"/>
      <c r="I196" s="132"/>
      <c r="J196" s="129"/>
      <c r="K196" s="129"/>
      <c r="L196" s="131">
        <f>IF(I196="",0,IF(K196&gt;0,0,IF(I196="A",H196,IF(I196="M",H196*12,IF(I196="W",H196*(Lookups!$B$9+1),IF(I196="B",H196*(+Lookups!$B$10),IF(I196="S",H196*2,IF(AND(H196=0,K196&gt;0),K196,"ERROR"))))))))</f>
        <v>0</v>
      </c>
      <c r="M196" s="130"/>
      <c r="N196" s="132"/>
      <c r="O196" s="129"/>
      <c r="P196" s="131">
        <f>IF(M196="",0,IF(O196&gt;0,0,IF(N196="A",M196,IF(N196="M",M196*12,IF(N196="W",M196*Lookups!B$9,IF(N196="B",M196*+Lookups!B$10,IF(N196="S",M196*2,IF(AND(M196=0,O196&gt;0),O196,"ERROR"))))))))</f>
        <v>0</v>
      </c>
      <c r="Q196" s="101" t="str">
        <f>IF(OR(AND(P196=0,H196=0),O196&gt;0),"",IF(AND(I196="W",N196="W"),ROUND(P196-(H196*Lookups!$B$9),0),ROUND(+P196-L196,0)))</f>
        <v/>
      </c>
      <c r="R196" s="102" t="str">
        <f t="shared" si="42"/>
        <v/>
      </c>
      <c r="S196" s="146"/>
      <c r="T196" s="180" t="str">
        <f t="shared" si="39"/>
        <v/>
      </c>
      <c r="U196" s="176" t="str">
        <f t="shared" si="40"/>
        <v/>
      </c>
      <c r="V196" s="176" t="str">
        <f t="shared" si="36"/>
        <v/>
      </c>
      <c r="W196" s="129" t="str">
        <f t="shared" si="45"/>
        <v/>
      </c>
      <c r="X196" s="129"/>
      <c r="Y196" s="141"/>
      <c r="Z196" s="133" t="s">
        <v>510</v>
      </c>
      <c r="AA196" s="133"/>
      <c r="AB196" s="133"/>
      <c r="AC196" s="134"/>
      <c r="AD196" s="135"/>
    </row>
    <row r="197" spans="1:30" x14ac:dyDescent="0.35">
      <c r="B197" s="28" t="s">
        <v>344</v>
      </c>
      <c r="C197" s="4" t="s">
        <v>345</v>
      </c>
      <c r="D197" s="24">
        <v>1300</v>
      </c>
      <c r="E197" s="22"/>
      <c r="F197" s="13">
        <v>1050</v>
      </c>
      <c r="G197" s="27">
        <f t="shared" si="46"/>
        <v>1050</v>
      </c>
      <c r="H197" s="22"/>
      <c r="I197" s="26"/>
      <c r="J197" s="13">
        <v>1500</v>
      </c>
      <c r="K197" s="13">
        <v>1300</v>
      </c>
      <c r="L197" s="27">
        <f>IF(I197="",0,IF(K197&gt;0,0,IF(I197="A",H197,IF(I197="M",H197*12,IF(I197="W",H197*(Lookups!$B$9+1),IF(I197="B",H197*(+Lookups!$B$10),IF(I197="S",H197*2,IF(AND(H197=0,K197&gt;0),K197,"ERROR"))))))))</f>
        <v>0</v>
      </c>
      <c r="M197" s="22"/>
      <c r="N197" s="26"/>
      <c r="O197" s="13">
        <v>1000</v>
      </c>
      <c r="P197" s="27">
        <f>IF(M197="",0,IF(O197&gt;0,0,IF(N197="A",M197,IF(N197="M",M197*12,IF(N197="W",M197*Lookups!B$9,IF(N197="B",M197*+Lookups!B$10,IF(N197="S",M197*2,IF(AND(M197=0,O197&gt;0),O197,"ERROR"))))))))</f>
        <v>0</v>
      </c>
      <c r="Q197" s="149" t="str">
        <f>IF(OR(AND(P197=0,H197=0),O197&gt;0),"",IF(AND(I197="W",N197="W"),ROUND(P197-(H197*Lookups!$B$9),0),ROUND(+P197-L197,0)))</f>
        <v/>
      </c>
      <c r="R197" s="91" t="str">
        <f t="shared" si="42"/>
        <v>E</v>
      </c>
      <c r="S197" s="24"/>
      <c r="T197" s="179" t="str">
        <f t="shared" si="39"/>
        <v/>
      </c>
      <c r="U197" s="175">
        <f t="shared" si="40"/>
        <v>1000</v>
      </c>
      <c r="V197" s="175" t="str">
        <f t="shared" ref="V197:V233" si="51">IF((L197+P197+D197+O197)=0,S197*6,"")</f>
        <v/>
      </c>
      <c r="W197" s="13" t="str">
        <f t="shared" si="45"/>
        <v/>
      </c>
      <c r="X197" s="13"/>
      <c r="Y197" s="140"/>
    </row>
    <row r="198" spans="1:30" x14ac:dyDescent="0.35">
      <c r="B198" s="28" t="s">
        <v>204</v>
      </c>
      <c r="C198" s="4" t="s">
        <v>205</v>
      </c>
      <c r="D198" s="24">
        <v>1065</v>
      </c>
      <c r="E198" s="22">
        <v>1040</v>
      </c>
      <c r="F198" s="13">
        <v>775</v>
      </c>
      <c r="G198" s="27">
        <f t="shared" si="46"/>
        <v>1040</v>
      </c>
      <c r="H198" s="22">
        <v>20</v>
      </c>
      <c r="I198" s="26" t="s">
        <v>43</v>
      </c>
      <c r="J198" s="13">
        <v>1050</v>
      </c>
      <c r="K198" s="13"/>
      <c r="L198" s="27">
        <f>IF(I198="",0,IF(K198&gt;0,0,IF(I198="A",H198,IF(I198="M",H198*12,IF(I198="W",H198*(Lookups!$B$9+1),IF(I198="B",H198*(+Lookups!$B$10),IF(I198="S",H198*2,IF(AND(H198=0,K198&gt;0),K198,"ERROR"))))))))</f>
        <v>1060</v>
      </c>
      <c r="M198" s="22">
        <v>20</v>
      </c>
      <c r="N198" s="26" t="s">
        <v>43</v>
      </c>
      <c r="O198" s="13"/>
      <c r="P198" s="27">
        <f>IF(M198="",0,IF(O198&gt;0,0,IF(N198="A",M198,IF(N198="M",M198*12,IF(N198="W",M198*Lookups!B$9,IF(N198="B",M198*+Lookups!B$10,IF(N198="S",M198*2,IF(AND(M198=0,O198&gt;0),O198,"ERROR"))))))))</f>
        <v>1040</v>
      </c>
      <c r="Q198" s="149">
        <f>IF(OR(AND(P198=0,H198=0),O198&gt;0),"",IF(AND(I198="W",N198="W"),ROUND(P198-(H198*Lookups!$B$9),0),ROUND(+P198-L198,0)))</f>
        <v>0</v>
      </c>
      <c r="R198" s="91" t="str">
        <f t="shared" si="42"/>
        <v>S</v>
      </c>
      <c r="S198" s="24">
        <v>110</v>
      </c>
      <c r="T198" s="179">
        <f t="shared" si="39"/>
        <v>0</v>
      </c>
      <c r="U198" s="175" t="str">
        <f t="shared" si="40"/>
        <v/>
      </c>
      <c r="V198" s="175" t="str">
        <f t="shared" si="51"/>
        <v/>
      </c>
      <c r="W198" s="13" t="str">
        <f t="shared" si="45"/>
        <v/>
      </c>
      <c r="X198" s="13"/>
      <c r="Y198" s="140"/>
      <c r="Z198" s="67" t="s">
        <v>494</v>
      </c>
      <c r="AA198" s="68" t="s">
        <v>495</v>
      </c>
      <c r="AB198" s="68" t="s">
        <v>426</v>
      </c>
      <c r="AC198" s="69" t="s">
        <v>403</v>
      </c>
      <c r="AD198" s="70">
        <v>53405</v>
      </c>
    </row>
    <row r="199" spans="1:30" x14ac:dyDescent="0.35">
      <c r="B199" s="28" t="s">
        <v>346</v>
      </c>
      <c r="C199" s="4" t="s">
        <v>347</v>
      </c>
      <c r="D199" s="24">
        <v>130</v>
      </c>
      <c r="E199" s="22"/>
      <c r="F199" s="13">
        <v>100</v>
      </c>
      <c r="G199" s="27">
        <f t="shared" si="46"/>
        <v>100</v>
      </c>
      <c r="H199" s="22">
        <v>300</v>
      </c>
      <c r="I199" s="26" t="s">
        <v>40</v>
      </c>
      <c r="J199" s="13">
        <v>245</v>
      </c>
      <c r="K199" s="13"/>
      <c r="L199" s="27">
        <f>IF(I199="",0,IF(K199&gt;0,0,IF(I199="A",H199,IF(I199="M",H199*12,IF(I199="W",H199*(Lookups!$B$9+1),IF(I199="B",H199*(+Lookups!$B$10),IF(I199="S",H199*2,IF(AND(H199=0,K199&gt;0),K199,"ERROR"))))))))</f>
        <v>300</v>
      </c>
      <c r="M199" s="22"/>
      <c r="N199" s="26"/>
      <c r="O199" s="13"/>
      <c r="P199" s="27">
        <f>IF(M199="",0,IF(O199&gt;0,0,IF(N199="A",M199,IF(N199="M",M199*12,IF(N199="W",M199*Lookups!B$9,IF(N199="B",M199*+Lookups!B$10,IF(N199="S",M199*2,IF(AND(M199=0,O199&gt;0),O199,"ERROR"))))))))</f>
        <v>0</v>
      </c>
      <c r="Q199" s="149">
        <f>IF(OR(AND(P199=0,H199=0),O199&gt;0),"",IF(AND(I199="W",N199="W"),ROUND(P199-(H199*Lookups!$B$9),0),ROUND(+P199-L199,0)))</f>
        <v>-300</v>
      </c>
      <c r="R199" s="91" t="str">
        <f t="shared" si="42"/>
        <v>D</v>
      </c>
      <c r="S199" s="24">
        <v>50</v>
      </c>
      <c r="T199" s="179">
        <f t="shared" ref="T199:T233" si="52">IF(AND(S199&gt;0,J199&gt;0),O199,"")</f>
        <v>0</v>
      </c>
      <c r="U199" s="175" t="str">
        <f t="shared" ref="U199:U233" si="53">IF(AND(S199&lt;1,J199&gt;0),O199,"")</f>
        <v/>
      </c>
      <c r="V199" s="175" t="str">
        <f t="shared" si="51"/>
        <v/>
      </c>
      <c r="W199" s="13" t="str">
        <f t="shared" ref="W199:W233" si="54">IF(X199="","",P199)</f>
        <v/>
      </c>
      <c r="X199" s="13"/>
      <c r="Y199" s="140"/>
    </row>
    <row r="200" spans="1:30" x14ac:dyDescent="0.35">
      <c r="B200" s="28" t="s">
        <v>206</v>
      </c>
      <c r="C200" s="4" t="s">
        <v>207</v>
      </c>
      <c r="D200" s="24">
        <v>1188</v>
      </c>
      <c r="E200" s="22">
        <v>1248</v>
      </c>
      <c r="F200" s="13">
        <v>884</v>
      </c>
      <c r="G200" s="27">
        <f t="shared" si="46"/>
        <v>884</v>
      </c>
      <c r="H200" s="22">
        <v>24</v>
      </c>
      <c r="I200" s="26" t="s">
        <v>43</v>
      </c>
      <c r="J200" s="13">
        <v>1290</v>
      </c>
      <c r="K200" s="13"/>
      <c r="L200" s="27">
        <f>IF(I200="",0,IF(K200&gt;0,0,IF(I200="A",H200,IF(I200="M",H200*12,IF(I200="W",H200*(Lookups!$B$9+1),IF(I200="B",H200*(+Lookups!$B$10),IF(I200="S",H200*2,IF(AND(H200=0,K200&gt;0),K200,"ERROR"))))))))</f>
        <v>1272</v>
      </c>
      <c r="M200" s="22">
        <v>25</v>
      </c>
      <c r="N200" s="26" t="s">
        <v>43</v>
      </c>
      <c r="O200" s="13"/>
      <c r="P200" s="27">
        <f>IF(M200="",0,IF(O200&gt;0,0,IF(N200="A",M200,IF(N200="M",M200*12,IF(N200="W",M200*Lookups!B$9,IF(N200="B",M200*+Lookups!B$10,IF(N200="S",M200*2,IF(AND(M200=0,O200&gt;0),O200,"ERROR"))))))))</f>
        <v>1300</v>
      </c>
      <c r="Q200" s="149">
        <f>IF(OR(AND(P200=0,H200=0),O200&gt;0),"",IF(AND(I200="W",N200="W"),ROUND(P200-(H200*Lookups!$B$9),0),ROUND(+P200-L200,0)))</f>
        <v>52</v>
      </c>
      <c r="R200" s="91" t="str">
        <f t="shared" si="42"/>
        <v>I</v>
      </c>
      <c r="S200" s="24">
        <v>189</v>
      </c>
      <c r="T200" s="179">
        <f t="shared" si="52"/>
        <v>0</v>
      </c>
      <c r="U200" s="175" t="str">
        <f t="shared" si="53"/>
        <v/>
      </c>
      <c r="V200" s="175" t="str">
        <f t="shared" si="51"/>
        <v/>
      </c>
      <c r="W200" s="13" t="str">
        <f t="shared" si="54"/>
        <v/>
      </c>
      <c r="X200" s="13"/>
      <c r="Y200" s="140"/>
      <c r="Z200" s="67" t="s">
        <v>617</v>
      </c>
      <c r="AA200" s="68" t="s">
        <v>618</v>
      </c>
      <c r="AB200" s="68" t="s">
        <v>426</v>
      </c>
      <c r="AC200" s="69" t="s">
        <v>403</v>
      </c>
      <c r="AD200" s="70">
        <v>53404</v>
      </c>
    </row>
    <row r="201" spans="1:30" x14ac:dyDescent="0.35">
      <c r="B201" s="28" t="s">
        <v>348</v>
      </c>
      <c r="C201" s="4" t="s">
        <v>668</v>
      </c>
      <c r="D201" s="24">
        <v>2700</v>
      </c>
      <c r="E201" s="22"/>
      <c r="F201" s="13">
        <v>1800</v>
      </c>
      <c r="G201" s="27">
        <f t="shared" ref="G201:G208" si="55">IF(E201=0,F201,IF(AND(F201=0,J201="A"),E201,IF(F201&gt;E201,F201, IF(F201/E201&gt;0.73,E201,F201))))</f>
        <v>1800</v>
      </c>
      <c r="H201" s="22"/>
      <c r="I201" s="26"/>
      <c r="J201" s="13">
        <v>2400</v>
      </c>
      <c r="K201" s="13">
        <v>2000</v>
      </c>
      <c r="L201" s="27">
        <f>IF(I201="",0,IF(K201&gt;0,0,IF(I201="A",H201,IF(I201="M",H201*12,IF(I201="W",H201*(Lookups!$B$9+1),IF(I201="B",H201*(+Lookups!$B$10),IF(I201="S",H201*2,IF(AND(H201=0,K201&gt;0),K201,"ERROR"))))))))</f>
        <v>0</v>
      </c>
      <c r="M201" s="22"/>
      <c r="N201" s="26"/>
      <c r="O201" s="13">
        <v>2000</v>
      </c>
      <c r="P201" s="27">
        <f>IF(M201="",0,IF(O201&gt;0,0,IF(N201="A",M201,IF(N201="M",M201*12,IF(N201="W",M201*Lookups!B$9,IF(N201="B",M201*+Lookups!B$10,IF(N201="S",M201*2,IF(AND(M201=0,O201&gt;0),O201,"ERROR"))))))))</f>
        <v>0</v>
      </c>
      <c r="Q201" s="149" t="str">
        <f>IF(OR(AND(P201=0,H201=0),O201&gt;0),"",IF(AND(I201="W",N201="W"),ROUND(P201-(H201*Lookups!$B$9),0),ROUND(+P201-L201,0)))</f>
        <v/>
      </c>
      <c r="R201" s="91" t="str">
        <f t="shared" si="42"/>
        <v>E</v>
      </c>
      <c r="S201" s="24">
        <v>400</v>
      </c>
      <c r="T201" s="179">
        <f t="shared" si="52"/>
        <v>2000</v>
      </c>
      <c r="U201" s="175" t="str">
        <f t="shared" si="53"/>
        <v/>
      </c>
      <c r="V201" s="175" t="str">
        <f t="shared" si="51"/>
        <v/>
      </c>
      <c r="W201" s="13" t="str">
        <f t="shared" si="54"/>
        <v/>
      </c>
      <c r="X201" s="13"/>
      <c r="Y201" s="140"/>
    </row>
    <row r="202" spans="1:30" x14ac:dyDescent="0.35">
      <c r="A202" s="157" t="s">
        <v>650</v>
      </c>
      <c r="B202" s="95" t="s">
        <v>208</v>
      </c>
      <c r="C202" s="96" t="s">
        <v>209</v>
      </c>
      <c r="D202" s="106">
        <v>195</v>
      </c>
      <c r="E202" s="98">
        <v>130</v>
      </c>
      <c r="F202" s="97">
        <v>30</v>
      </c>
      <c r="G202" s="99">
        <f t="shared" si="55"/>
        <v>30</v>
      </c>
      <c r="H202" s="98"/>
      <c r="I202" s="100" t="s">
        <v>43</v>
      </c>
      <c r="J202" s="97"/>
      <c r="K202" s="97"/>
      <c r="L202" s="99">
        <f>IF(I202="",0,IF(K202&gt;0,0,IF(I202="A",H202,IF(I202="M",H202*12,IF(I202="W",H202*(Lookups!$B$9+1),IF(I202="B",H202*(+Lookups!$B$10),IF(I202="S",H202*2,IF(AND(H202=0,K202&gt;0),K202,"ERROR"))))))))</f>
        <v>0</v>
      </c>
      <c r="M202" s="98"/>
      <c r="N202" s="100"/>
      <c r="O202" s="97"/>
      <c r="P202" s="99">
        <f>IF(M202="",0,IF(O202&gt;0,0,IF(N202="A",M202,IF(N202="M",M202*12,IF(N202="W",M202*Lookups!B$9,IF(N202="B",M202*+Lookups!B$10,IF(N202="S",M202*2,IF(AND(M202=0,O202&gt;0),O202,"ERROR"))))))))</f>
        <v>0</v>
      </c>
      <c r="Q202" s="101" t="str">
        <f>IF(OR(AND(P202=0,H202=0),O202&gt;0),"",IF(AND(I202="W",N202="W"),ROUND(P202-(H202*Lookups!$B$9),0),ROUND(+P202-L202,0)))</f>
        <v/>
      </c>
      <c r="R202" s="102" t="str">
        <f t="shared" si="42"/>
        <v/>
      </c>
      <c r="S202" s="106"/>
      <c r="T202" s="182" t="str">
        <f t="shared" si="52"/>
        <v/>
      </c>
      <c r="U202" s="178" t="str">
        <f t="shared" si="53"/>
        <v/>
      </c>
      <c r="V202" s="178" t="str">
        <f t="shared" si="51"/>
        <v/>
      </c>
      <c r="W202" s="97" t="str">
        <f t="shared" si="54"/>
        <v/>
      </c>
      <c r="X202" s="97"/>
      <c r="Y202" s="143"/>
      <c r="Z202" s="103" t="s">
        <v>513</v>
      </c>
      <c r="AA202" s="103"/>
      <c r="AB202" s="103"/>
      <c r="AC202" s="104"/>
      <c r="AD202" s="105"/>
    </row>
    <row r="203" spans="1:30" x14ac:dyDescent="0.35">
      <c r="B203" s="28" t="s">
        <v>349</v>
      </c>
      <c r="C203" s="4" t="s">
        <v>350</v>
      </c>
      <c r="D203" s="24">
        <v>1200</v>
      </c>
      <c r="E203" s="22"/>
      <c r="F203" s="13">
        <v>1075</v>
      </c>
      <c r="G203" s="27">
        <f t="shared" si="55"/>
        <v>1075</v>
      </c>
      <c r="H203" s="22"/>
      <c r="I203" s="26"/>
      <c r="J203" s="13">
        <v>100</v>
      </c>
      <c r="K203" s="13">
        <v>1200</v>
      </c>
      <c r="L203" s="27">
        <f>IF(I203="",0,IF(K203&gt;0,0,IF(I203="A",H203,IF(I203="M",H203*12,IF(I203="W",H203*(Lookups!$B$9+1),IF(I203="B",H203*(+Lookups!$B$10),IF(I203="S",H203*2,IF(AND(H203=0,K203&gt;0),K203,"ERROR"))))))))</f>
        <v>0</v>
      </c>
      <c r="M203" s="22"/>
      <c r="N203" s="26"/>
      <c r="O203" s="13"/>
      <c r="P203" s="27">
        <f>IF(M203="",0,IF(O203&gt;0,0,IF(N203="A",M203,IF(N203="M",M203*12,IF(N203="W",M203*Lookups!B$9,IF(N203="B",M203*+Lookups!B$10,IF(N203="S",M203*2,IF(AND(M203=0,O203&gt;0),O203,"ERROR"))))))))</f>
        <v>0</v>
      </c>
      <c r="Q203" s="149" t="str">
        <f>IF(OR(AND(P203=0,H203=0),O203&gt;0),"",IF(AND(I203="W",N203="W"),ROUND(P203-(H203*Lookups!$B$9),0),ROUND(+P203-L203,0)))</f>
        <v/>
      </c>
      <c r="R203" s="91" t="str">
        <f t="shared" si="42"/>
        <v/>
      </c>
      <c r="S203" s="24"/>
      <c r="T203" s="179" t="str">
        <f t="shared" si="52"/>
        <v/>
      </c>
      <c r="U203" s="175">
        <f t="shared" si="53"/>
        <v>0</v>
      </c>
      <c r="V203" s="175" t="str">
        <f t="shared" si="51"/>
        <v/>
      </c>
      <c r="W203" s="13" t="str">
        <f t="shared" si="54"/>
        <v/>
      </c>
      <c r="X203" s="13"/>
      <c r="Y203" s="140"/>
    </row>
    <row r="204" spans="1:30" x14ac:dyDescent="0.35">
      <c r="B204" s="28" t="s">
        <v>669</v>
      </c>
      <c r="C204" s="4" t="s">
        <v>670</v>
      </c>
      <c r="D204" s="24"/>
      <c r="E204" s="22"/>
      <c r="F204" s="13">
        <v>1075</v>
      </c>
      <c r="G204" s="27">
        <f t="shared" ref="G204" si="56">IF(E204=0,F204,IF(AND(F204=0,J204="A"),E204,IF(F204&gt;E204,F204, IF(F204/E204&gt;0.73,E204,F204))))</f>
        <v>1075</v>
      </c>
      <c r="H204" s="22"/>
      <c r="I204" s="26"/>
      <c r="J204" s="13">
        <v>1090</v>
      </c>
      <c r="K204" s="13">
        <v>1200</v>
      </c>
      <c r="L204" s="27">
        <f>IF(I204="",0,IF(K204&gt;0,0,IF(I204="A",H204,IF(I204="M",H204*12,IF(I204="W",H204*(Lookups!$B$9+1),IF(I204="B",H204*(+Lookups!$B$10),IF(I204="S",H204*2,IF(AND(H204=0,K204&gt;0),K204,"ERROR"))))))))</f>
        <v>0</v>
      </c>
      <c r="M204" s="22"/>
      <c r="N204" s="26"/>
      <c r="O204" s="13">
        <v>1000</v>
      </c>
      <c r="P204" s="27">
        <f>IF(M204="",0,IF(O204&gt;0,0,IF(N204="A",M204,IF(N204="M",M204*12,IF(N204="W",M204*Lookups!B$9,IF(N204="B",M204*+Lookups!B$10,IF(N204="S",M204*2,IF(AND(M204=0,O204&gt;0),O204,"ERROR"))))))))</f>
        <v>0</v>
      </c>
      <c r="Q204" s="149" t="str">
        <f>IF(OR(AND(P204=0,H204=0),O204&gt;0),"",IF(AND(I204="W",N204="W"),ROUND(P204-(H204*Lookups!$B$9),0),ROUND(+P204-L204,0)))</f>
        <v/>
      </c>
      <c r="R204" s="91" t="str">
        <f t="shared" ref="R204" si="57">IF(AND(O204&gt;0,J204&gt;0),"E",IF(Q204="","",IF(Q204=0,"S",IF(AND(Q204&gt;0,NOT(H204=0)),"I",IF(AND(Q204&gt;0,H204=0),"N",IF(Q204&lt;0,"D","ERROR"))))))</f>
        <v>E</v>
      </c>
      <c r="S204" s="24">
        <v>400</v>
      </c>
      <c r="T204" s="179">
        <f t="shared" si="52"/>
        <v>1000</v>
      </c>
      <c r="U204" s="175" t="str">
        <f t="shared" si="53"/>
        <v/>
      </c>
      <c r="V204" s="175" t="str">
        <f t="shared" si="51"/>
        <v/>
      </c>
      <c r="W204" s="13" t="str">
        <f t="shared" si="54"/>
        <v/>
      </c>
      <c r="X204" s="13"/>
      <c r="Y204" s="140"/>
    </row>
    <row r="205" spans="1:30" x14ac:dyDescent="0.35">
      <c r="A205" s="157" t="s">
        <v>650</v>
      </c>
      <c r="B205" s="28" t="s">
        <v>351</v>
      </c>
      <c r="C205" s="4" t="s">
        <v>173</v>
      </c>
      <c r="D205" s="24">
        <v>1400</v>
      </c>
      <c r="E205" s="22"/>
      <c r="F205" s="13"/>
      <c r="G205" s="27">
        <f t="shared" si="55"/>
        <v>0</v>
      </c>
      <c r="H205" s="22"/>
      <c r="I205" s="26"/>
      <c r="J205" s="13"/>
      <c r="K205" s="13"/>
      <c r="L205" s="27">
        <f>IF(I205="",0,IF(K205&gt;0,0,IF(I205="A",H205,IF(I205="M",H205*12,IF(I205="W",H205*(Lookups!$B$9+1),IF(I205="B",H205*(+Lookups!$B$10),IF(I205="S",H205*2,IF(AND(H205=0,K205&gt;0),K205,"ERROR"))))))))</f>
        <v>0</v>
      </c>
      <c r="M205" s="22"/>
      <c r="N205" s="26"/>
      <c r="O205" s="13"/>
      <c r="P205" s="27">
        <f>IF(M205="",0,IF(O205&gt;0,0,IF(N205="A",M205,IF(N205="M",M205*12,IF(N205="W",M205*Lookups!B$9,IF(N205="B",M205*+Lookups!B$10,IF(N205="S",M205*2,IF(AND(M205=0,O205&gt;0),O205,"ERROR"))))))))</f>
        <v>0</v>
      </c>
      <c r="Q205" s="149" t="str">
        <f>IF(OR(AND(P205=0,H205=0),O205&gt;0),"",IF(AND(I205="W",N205="W"),ROUND(P205-(H205*Lookups!$B$9),0),ROUND(+P205-L205,0)))</f>
        <v/>
      </c>
      <c r="R205" s="91" t="str">
        <f t="shared" si="42"/>
        <v/>
      </c>
      <c r="S205" s="24"/>
      <c r="T205" s="179" t="str">
        <f t="shared" si="52"/>
        <v/>
      </c>
      <c r="U205" s="175" t="str">
        <f t="shared" si="53"/>
        <v/>
      </c>
      <c r="V205" s="175" t="str">
        <f t="shared" si="51"/>
        <v/>
      </c>
      <c r="W205" s="13" t="str">
        <f t="shared" si="54"/>
        <v/>
      </c>
      <c r="X205" s="13"/>
      <c r="Y205" s="140"/>
    </row>
    <row r="206" spans="1:30" x14ac:dyDescent="0.35">
      <c r="B206" s="28" t="s">
        <v>352</v>
      </c>
      <c r="C206" s="4" t="s">
        <v>353</v>
      </c>
      <c r="D206" s="24">
        <v>110</v>
      </c>
      <c r="E206" s="22"/>
      <c r="F206" s="13">
        <v>60</v>
      </c>
      <c r="G206" s="27">
        <f t="shared" si="55"/>
        <v>60</v>
      </c>
      <c r="H206" s="22"/>
      <c r="I206" s="26"/>
      <c r="J206" s="13">
        <v>125</v>
      </c>
      <c r="K206" s="13"/>
      <c r="L206" s="27">
        <f>IF(I206="",0,IF(K206&gt;0,0,IF(I206="A",H206,IF(I206="M",H206*12,IF(I206="W",H206*(Lookups!$B$9+1),IF(I206="B",H206*(+Lookups!$B$10),IF(I206="S",H206*2,IF(AND(H206=0,K206&gt;0),K206,"ERROR"))))))))</f>
        <v>0</v>
      </c>
      <c r="M206" s="22"/>
      <c r="N206" s="26"/>
      <c r="O206" s="13"/>
      <c r="P206" s="27">
        <f>IF(M206="",0,IF(O206&gt;0,0,IF(N206="A",M206,IF(N206="M",M206*12,IF(N206="W",M206*Lookups!B$9,IF(N206="B",M206*+Lookups!B$10,IF(N206="S",M206*2,IF(AND(M206=0,O206&gt;0),O206,"ERROR"))))))))</f>
        <v>0</v>
      </c>
      <c r="Q206" s="149" t="str">
        <f>IF(OR(AND(P206=0,H206=0),O206&gt;0),"",IF(AND(I206="W",N206="W"),ROUND(P206-(H206*Lookups!$B$9),0),ROUND(+P206-L206,0)))</f>
        <v/>
      </c>
      <c r="R206" s="91" t="str">
        <f t="shared" si="42"/>
        <v/>
      </c>
      <c r="S206" s="24">
        <v>20</v>
      </c>
      <c r="T206" s="179">
        <f t="shared" si="52"/>
        <v>0</v>
      </c>
      <c r="U206" s="175" t="str">
        <f t="shared" si="53"/>
        <v/>
      </c>
      <c r="V206" s="175" t="str">
        <f t="shared" si="51"/>
        <v/>
      </c>
      <c r="W206" s="13" t="str">
        <f t="shared" si="54"/>
        <v/>
      </c>
      <c r="X206" s="13"/>
      <c r="Y206" s="140"/>
    </row>
    <row r="207" spans="1:30" x14ac:dyDescent="0.35">
      <c r="B207" s="166" t="s">
        <v>210</v>
      </c>
      <c r="C207" s="4" t="s">
        <v>211</v>
      </c>
      <c r="D207" s="24">
        <v>2600</v>
      </c>
      <c r="E207" s="22">
        <v>2912</v>
      </c>
      <c r="F207" s="13">
        <v>2184</v>
      </c>
      <c r="G207" s="27">
        <f t="shared" si="55"/>
        <v>2912</v>
      </c>
      <c r="H207" s="22">
        <v>260</v>
      </c>
      <c r="I207" s="26" t="s">
        <v>44</v>
      </c>
      <c r="J207" s="13">
        <v>3180</v>
      </c>
      <c r="K207" s="13"/>
      <c r="L207" s="27">
        <f>IF(I207="",0,IF(K207&gt;0,0,IF(I207="A",H207,IF(I207="M",H207*12,IF(I207="W",H207*(Lookups!$B$9+1),IF(I207="B",H207*(+Lookups!$B$10),IF(I207="S",H207*2,IF(AND(H207=0,K207&gt;0),K207,"ERROR"))))))))</f>
        <v>3120</v>
      </c>
      <c r="M207" s="22"/>
      <c r="N207" s="26"/>
      <c r="O207" s="13">
        <v>3100</v>
      </c>
      <c r="P207" s="27">
        <f>IF(M207="",0,IF(O207&gt;0,0,IF(N207="A",M207,IF(N207="M",M207*12,IF(N207="W",M207*Lookups!B$9,IF(N207="B",M207*+Lookups!B$10,IF(N207="S",M207*2,IF(AND(M207=0,O207&gt;0),O207,"ERROR"))))))))</f>
        <v>0</v>
      </c>
      <c r="Q207" s="149" t="str">
        <f>IF(OR(AND(P207=0,H207=0),O207&gt;0),"",IF(AND(I207="W",N207="W"),ROUND(P207-(H207*Lookups!$B$9),0),ROUND(+P207-L207,0)))</f>
        <v/>
      </c>
      <c r="R207" s="91" t="str">
        <f t="shared" ref="R207:R233" si="58">IF(AND(O207&gt;0,J207&gt;0),"E",IF(Q207="","",IF(Q207=0,"S",IF(AND(Q207&gt;0,NOT(H207=0)),"I",IF(AND(Q207&gt;0,H207=0),"N",IF(Q207&lt;0,"D","ERROR"))))))</f>
        <v>E</v>
      </c>
      <c r="S207" s="24"/>
      <c r="T207" s="179" t="str">
        <f t="shared" si="52"/>
        <v/>
      </c>
      <c r="U207" s="175">
        <f t="shared" si="53"/>
        <v>3100</v>
      </c>
      <c r="V207" s="175" t="str">
        <f t="shared" si="51"/>
        <v/>
      </c>
      <c r="W207" s="13" t="str">
        <f t="shared" si="54"/>
        <v/>
      </c>
      <c r="X207" s="13"/>
      <c r="Y207" s="140"/>
      <c r="Z207" s="67" t="s">
        <v>497</v>
      </c>
      <c r="AA207" s="68" t="s">
        <v>498</v>
      </c>
      <c r="AB207" s="68" t="s">
        <v>426</v>
      </c>
      <c r="AC207" s="69" t="s">
        <v>403</v>
      </c>
      <c r="AD207" s="70">
        <v>53405</v>
      </c>
    </row>
    <row r="208" spans="1:30" x14ac:dyDescent="0.35">
      <c r="B208" s="28" t="s">
        <v>212</v>
      </c>
      <c r="C208" s="4" t="s">
        <v>213</v>
      </c>
      <c r="D208" s="24">
        <v>1620</v>
      </c>
      <c r="E208" s="22">
        <v>1680</v>
      </c>
      <c r="F208" s="13">
        <v>1260</v>
      </c>
      <c r="G208" s="27">
        <f t="shared" si="55"/>
        <v>1680</v>
      </c>
      <c r="H208" s="22">
        <v>140</v>
      </c>
      <c r="I208" s="26" t="s">
        <v>44</v>
      </c>
      <c r="J208" s="13">
        <v>1680</v>
      </c>
      <c r="K208" s="13"/>
      <c r="L208" s="27">
        <f>IF(I208="",0,IF(K208&gt;0,0,IF(I208="A",H208,IF(I208="M",H208*12,IF(I208="W",H208*(Lookups!$B$9+1),IF(I208="B",H208*(+Lookups!$B$10),IF(I208="S",H208*2,IF(AND(H208=0,K208&gt;0),K208,"ERROR"))))))))</f>
        <v>1680</v>
      </c>
      <c r="M208" s="22">
        <v>145</v>
      </c>
      <c r="N208" s="26" t="s">
        <v>44</v>
      </c>
      <c r="O208" s="13"/>
      <c r="P208" s="27">
        <f>IF(M208="",0,IF(O208&gt;0,0,IF(N208="A",M208,IF(N208="M",M208*12,IF(N208="W",M208*Lookups!B$9,IF(N208="B",M208*+Lookups!B$10,IF(N208="S",M208*2,IF(AND(M208=0,O208&gt;0),O208,"ERROR"))))))))</f>
        <v>1740</v>
      </c>
      <c r="Q208" s="149">
        <f>IF(OR(AND(P208=0,H208=0),O208&gt;0),"",IF(AND(I208="W",N208="W"),ROUND(P208-(H208*Lookups!$B$9),0),ROUND(+P208-L208,0)))</f>
        <v>60</v>
      </c>
      <c r="R208" s="91" t="str">
        <f t="shared" si="58"/>
        <v>I</v>
      </c>
      <c r="S208" s="24">
        <v>290</v>
      </c>
      <c r="T208" s="179">
        <f t="shared" si="52"/>
        <v>0</v>
      </c>
      <c r="U208" s="175" t="str">
        <f t="shared" si="53"/>
        <v/>
      </c>
      <c r="V208" s="175" t="str">
        <f t="shared" si="51"/>
        <v/>
      </c>
      <c r="W208" s="13" t="str">
        <f t="shared" si="54"/>
        <v/>
      </c>
      <c r="X208" s="13"/>
      <c r="Y208" s="140"/>
      <c r="AA208" s="68" t="s">
        <v>619</v>
      </c>
      <c r="AB208" s="68" t="s">
        <v>426</v>
      </c>
      <c r="AC208" s="69" t="s">
        <v>403</v>
      </c>
      <c r="AD208" s="70">
        <v>53402</v>
      </c>
    </row>
    <row r="209" spans="1:30" x14ac:dyDescent="0.35">
      <c r="B209" s="28" t="s">
        <v>214</v>
      </c>
      <c r="C209" s="4" t="s">
        <v>21</v>
      </c>
      <c r="D209" s="24">
        <v>16900</v>
      </c>
      <c r="E209" s="22">
        <v>17750</v>
      </c>
      <c r="F209" s="13"/>
      <c r="G209" s="27"/>
      <c r="H209" s="22"/>
      <c r="I209" s="26" t="s">
        <v>40</v>
      </c>
      <c r="J209" s="13">
        <v>10000</v>
      </c>
      <c r="K209" s="13">
        <v>17000</v>
      </c>
      <c r="L209" s="27">
        <f>IF(I209="",0,IF(K209&gt;0,0,IF(I209="A",H209,IF(I209="M",H209*12,IF(I209="W",H209*(Lookups!$B$9+1),IF(I209="B",H209*(+Lookups!$B$10),IF(I209="S",H209*2,IF(AND(H209=0,K209&gt;0),K209,"ERROR"))))))))</f>
        <v>0</v>
      </c>
      <c r="M209" s="22">
        <v>10000</v>
      </c>
      <c r="N209" s="26" t="s">
        <v>40</v>
      </c>
      <c r="O209" s="13"/>
      <c r="P209" s="172">
        <f>IF(M209="",0,IF(O209&gt;0,0,IF(N209="A",M209,IF(N209="M",M209*12,IF(N209="W",M209*Lookups!B$9,IF(N209="B",M209*+Lookups!B$10,IF(N209="S",M209*2,IF(AND(M209=0,O209&gt;0),O209,"ERROR"))))))))</f>
        <v>10000</v>
      </c>
      <c r="Q209" s="149">
        <f>IF(OR(AND(P209=0,H209=0),O209&gt;0),"",IF(AND(I209="W",N209="W"),ROUND(P209-(H209*Lookups!$B$9),0),ROUND(+P209-L209,0)))</f>
        <v>10000</v>
      </c>
      <c r="R209" s="91" t="str">
        <f t="shared" si="58"/>
        <v>N</v>
      </c>
      <c r="S209" s="24"/>
      <c r="T209" s="179" t="str">
        <f t="shared" si="52"/>
        <v/>
      </c>
      <c r="U209" s="175">
        <f t="shared" si="53"/>
        <v>0</v>
      </c>
      <c r="V209" s="175" t="str">
        <f t="shared" si="51"/>
        <v/>
      </c>
      <c r="W209" s="13">
        <f t="shared" si="54"/>
        <v>10000</v>
      </c>
      <c r="X209" s="13">
        <v>75</v>
      </c>
      <c r="Y209" s="140"/>
      <c r="Z209" s="67" t="s">
        <v>620</v>
      </c>
      <c r="AA209" s="68" t="s">
        <v>621</v>
      </c>
      <c r="AB209" s="68" t="s">
        <v>571</v>
      </c>
      <c r="AC209" s="69" t="s">
        <v>403</v>
      </c>
      <c r="AD209" s="70">
        <v>53406</v>
      </c>
    </row>
    <row r="210" spans="1:30" x14ac:dyDescent="0.35">
      <c r="A210" s="157" t="s">
        <v>650</v>
      </c>
      <c r="B210" s="28" t="s">
        <v>215</v>
      </c>
      <c r="C210" s="4" t="s">
        <v>384</v>
      </c>
      <c r="D210" s="24"/>
      <c r="E210" s="22"/>
      <c r="F210" s="13">
        <v>15</v>
      </c>
      <c r="G210" s="27">
        <f t="shared" ref="G210:G233" si="59">IF(E210=0,F210,IF(AND(F210=0,J210="A"),E210,IF(F210&gt;E210,F210, IF(F210/E210&gt;0.73,E210,F210))))</f>
        <v>15</v>
      </c>
      <c r="H210" s="22"/>
      <c r="I210" s="26"/>
      <c r="J210" s="13"/>
      <c r="K210" s="13"/>
      <c r="L210" s="27">
        <f>IF(I210="",0,IF(K210&gt;0,0,IF(I210="A",H210,IF(I210="M",H210*12,IF(I210="W",H210*(Lookups!$B$9+1),IF(I210="B",H210*(+Lookups!$B$10),IF(I210="S",H210*2,IF(AND(H210=0,K210&gt;0),K210,"ERROR"))))))))</f>
        <v>0</v>
      </c>
      <c r="M210" s="22"/>
      <c r="N210" s="26"/>
      <c r="O210" s="13"/>
      <c r="P210" s="27">
        <f>IF(M210="",0,IF(O210&gt;0,0,IF(N210="A",M210,IF(N210="M",M210*12,IF(N210="W",M210*Lookups!B$9,IF(N210="B",M210*+Lookups!B$10,IF(N210="S",M210*2,IF(AND(M210=0,O210&gt;0),O210,"ERROR"))))))))</f>
        <v>0</v>
      </c>
      <c r="Q210" s="149" t="str">
        <f>IF(OR(AND(P210=0,H210=0),O210&gt;0),"",IF(AND(I210="W",N210="W"),ROUND(P210-(H210*Lookups!$B$9),0),ROUND(+P210-L210,0)))</f>
        <v/>
      </c>
      <c r="R210" s="91" t="str">
        <f t="shared" si="58"/>
        <v/>
      </c>
      <c r="S210" s="24"/>
      <c r="T210" s="179" t="str">
        <f t="shared" si="52"/>
        <v/>
      </c>
      <c r="U210" s="175" t="str">
        <f t="shared" si="53"/>
        <v/>
      </c>
      <c r="V210" s="175">
        <f t="shared" si="51"/>
        <v>0</v>
      </c>
      <c r="W210" s="13" t="str">
        <f t="shared" si="54"/>
        <v/>
      </c>
      <c r="X210" s="13"/>
      <c r="Y210" s="140"/>
    </row>
    <row r="211" spans="1:30" x14ac:dyDescent="0.35">
      <c r="B211" s="28" t="s">
        <v>215</v>
      </c>
      <c r="C211" s="4" t="s">
        <v>216</v>
      </c>
      <c r="D211" s="24">
        <v>1500</v>
      </c>
      <c r="E211" s="22">
        <v>1500</v>
      </c>
      <c r="F211" s="13">
        <v>1000</v>
      </c>
      <c r="G211" s="27">
        <f t="shared" si="59"/>
        <v>1000</v>
      </c>
      <c r="H211" s="22">
        <v>125</v>
      </c>
      <c r="I211" s="26" t="s">
        <v>44</v>
      </c>
      <c r="J211" s="13">
        <v>1700</v>
      </c>
      <c r="K211" s="13"/>
      <c r="L211" s="27">
        <f>IF(I211="",0,IF(K211&gt;0,0,IF(I211="A",H211,IF(I211="M",H211*12,IF(I211="W",H211*(Lookups!$B$9+1),IF(I211="B",H211*(+Lookups!$B$10),IF(I211="S",H211*2,IF(AND(H211=0,K211&gt;0),K211,"ERROR"))))))))</f>
        <v>1500</v>
      </c>
      <c r="M211" s="22">
        <v>28.846153846153847</v>
      </c>
      <c r="N211" s="26" t="s">
        <v>43</v>
      </c>
      <c r="O211" s="13"/>
      <c r="P211" s="27">
        <f>IF(M211="",0,IF(O211&gt;0,0,IF(N211="A",M211,IF(N211="M",M211*12,IF(N211="W",M211*Lookups!B$9,IF(N211="B",M211*+Lookups!B$10,IF(N211="S",M211*2,IF(AND(M211=0,O211&gt;0),O211,"ERROR"))))))))</f>
        <v>1500</v>
      </c>
      <c r="Q211" s="149">
        <f>IF(OR(AND(P211=0,H211=0),O211&gt;0),"",IF(AND(I211="W",N211="W"),ROUND(P211-(H211*Lookups!$B$9),0),ROUND(+P211-L211,0)))</f>
        <v>0</v>
      </c>
      <c r="R211" s="91" t="str">
        <f t="shared" si="58"/>
        <v>S</v>
      </c>
      <c r="S211" s="24">
        <v>300</v>
      </c>
      <c r="T211" s="179">
        <f t="shared" si="52"/>
        <v>0</v>
      </c>
      <c r="U211" s="175" t="str">
        <f t="shared" si="53"/>
        <v/>
      </c>
      <c r="V211" s="175" t="str">
        <f t="shared" si="51"/>
        <v/>
      </c>
      <c r="W211" s="13" t="str">
        <f t="shared" si="54"/>
        <v/>
      </c>
      <c r="X211" s="13"/>
      <c r="Y211" s="140"/>
    </row>
    <row r="212" spans="1:30" x14ac:dyDescent="0.35">
      <c r="A212" s="157" t="s">
        <v>650</v>
      </c>
      <c r="B212" s="28" t="s">
        <v>215</v>
      </c>
      <c r="C212" s="4" t="s">
        <v>385</v>
      </c>
      <c r="D212" s="24"/>
      <c r="E212" s="22"/>
      <c r="F212" s="13">
        <v>5</v>
      </c>
      <c r="G212" s="27">
        <f t="shared" si="59"/>
        <v>5</v>
      </c>
      <c r="H212" s="22"/>
      <c r="I212" s="26"/>
      <c r="J212" s="13"/>
      <c r="K212" s="13"/>
      <c r="L212" s="27">
        <f>IF(I212="",0,IF(K212&gt;0,0,IF(I212="A",H212,IF(I212="M",H212*12,IF(I212="W",H212*(Lookups!$B$9+1),IF(I212="B",H212*(+Lookups!$B$10),IF(I212="S",H212*2,IF(AND(H212=0,K212&gt;0),K212,"ERROR"))))))))</f>
        <v>0</v>
      </c>
      <c r="M212" s="22"/>
      <c r="N212" s="26"/>
      <c r="O212" s="13"/>
      <c r="P212" s="27">
        <f>IF(M212="",0,IF(O212&gt;0,0,IF(N212="A",M212,IF(N212="M",M212*12,IF(N212="W",M212*Lookups!B$9,IF(N212="B",M212*+Lookups!B$10,IF(N212="S",M212*2,IF(AND(M212=0,O212&gt;0),O212,"ERROR"))))))))</f>
        <v>0</v>
      </c>
      <c r="Q212" s="149" t="str">
        <f>IF(OR(AND(P212=0,H212=0),O212&gt;0),"",IF(AND(I212="W",N212="W"),ROUND(P212-(H212*Lookups!$B$9),0),ROUND(+P212-L212,0)))</f>
        <v/>
      </c>
      <c r="R212" s="91" t="str">
        <f t="shared" si="58"/>
        <v/>
      </c>
      <c r="S212" s="24"/>
      <c r="T212" s="179" t="str">
        <f t="shared" si="52"/>
        <v/>
      </c>
      <c r="U212" s="175" t="str">
        <f t="shared" si="53"/>
        <v/>
      </c>
      <c r="V212" s="175">
        <f t="shared" si="51"/>
        <v>0</v>
      </c>
      <c r="W212" s="13" t="str">
        <f t="shared" si="54"/>
        <v/>
      </c>
      <c r="X212" s="13"/>
      <c r="Y212" s="140"/>
    </row>
    <row r="213" spans="1:30" x14ac:dyDescent="0.35">
      <c r="A213" s="157" t="s">
        <v>650</v>
      </c>
      <c r="B213" s="28" t="s">
        <v>354</v>
      </c>
      <c r="C213" s="4" t="s">
        <v>355</v>
      </c>
      <c r="D213" s="24">
        <v>50</v>
      </c>
      <c r="E213" s="22"/>
      <c r="F213" s="13"/>
      <c r="G213" s="27">
        <f t="shared" si="59"/>
        <v>0</v>
      </c>
      <c r="H213" s="22"/>
      <c r="I213" s="26"/>
      <c r="J213" s="13"/>
      <c r="K213" s="13"/>
      <c r="L213" s="27">
        <f>IF(I213="",0,IF(K213&gt;0,0,IF(I213="A",H213,IF(I213="M",H213*12,IF(I213="W",H213*(Lookups!$B$9+1),IF(I213="B",H213*(+Lookups!$B$10),IF(I213="S",H213*2,IF(AND(H213=0,K213&gt;0),K213,"ERROR"))))))))</f>
        <v>0</v>
      </c>
      <c r="M213" s="22"/>
      <c r="N213" s="26"/>
      <c r="O213" s="13"/>
      <c r="P213" s="27">
        <f>IF(M213="",0,IF(O213&gt;0,0,IF(N213="A",M213,IF(N213="M",M213*12,IF(N213="W",M213*Lookups!B$9,IF(N213="B",M213*+Lookups!B$10,IF(N213="S",M213*2,IF(AND(M213=0,O213&gt;0),O213,"ERROR"))))))))</f>
        <v>0</v>
      </c>
      <c r="Q213" s="149" t="str">
        <f>IF(OR(AND(P213=0,H213=0),O213&gt;0),"",IF(AND(I213="W",N213="W"),ROUND(P213-(H213*Lookups!$B$9),0),ROUND(+P213-L213,0)))</f>
        <v/>
      </c>
      <c r="R213" s="91" t="str">
        <f t="shared" si="58"/>
        <v/>
      </c>
      <c r="S213" s="24"/>
      <c r="T213" s="179" t="str">
        <f t="shared" si="52"/>
        <v/>
      </c>
      <c r="U213" s="175" t="str">
        <f t="shared" si="53"/>
        <v/>
      </c>
      <c r="V213" s="175" t="str">
        <f t="shared" si="51"/>
        <v/>
      </c>
      <c r="W213" s="13" t="str">
        <f t="shared" si="54"/>
        <v/>
      </c>
      <c r="X213" s="13"/>
      <c r="Y213" s="140"/>
    </row>
    <row r="214" spans="1:30" x14ac:dyDescent="0.35">
      <c r="B214" s="28" t="s">
        <v>217</v>
      </c>
      <c r="C214" s="4" t="s">
        <v>218</v>
      </c>
      <c r="D214" s="24">
        <v>1060</v>
      </c>
      <c r="E214" s="22">
        <v>1040</v>
      </c>
      <c r="F214" s="13">
        <v>780</v>
      </c>
      <c r="G214" s="27">
        <f t="shared" si="59"/>
        <v>1040</v>
      </c>
      <c r="H214" s="22">
        <v>20</v>
      </c>
      <c r="I214" s="26" t="s">
        <v>43</v>
      </c>
      <c r="J214" s="13">
        <v>1040</v>
      </c>
      <c r="K214" s="13"/>
      <c r="L214" s="27">
        <f>IF(I214="",0,IF(K214&gt;0,0,IF(I214="A",H214,IF(I214="M",H214*12,IF(I214="W",H214*(Lookups!$B$9+1),IF(I214="B",H214*(+Lookups!$B$10),IF(I214="S",H214*2,IF(AND(H214=0,K214&gt;0),K214,"ERROR"))))))))</f>
        <v>1060</v>
      </c>
      <c r="M214" s="22">
        <v>20</v>
      </c>
      <c r="N214" s="26" t="s">
        <v>43</v>
      </c>
      <c r="O214" s="13"/>
      <c r="P214" s="27">
        <f>IF(M214="",0,IF(O214&gt;0,0,IF(N214="A",M214,IF(N214="M",M214*12,IF(N214="W",M214*Lookups!B$9,IF(N214="B",M214*+Lookups!B$10,IF(N214="S",M214*2,IF(AND(M214=0,O214&gt;0),O214,"ERROR"))))))))</f>
        <v>1040</v>
      </c>
      <c r="Q214" s="149">
        <f>IF(OR(AND(P214=0,H214=0),O214&gt;0),"",IF(AND(I214="W",N214="W"),ROUND(P214-(H214*Lookups!$B$9),0),ROUND(+P214-L214,0)))</f>
        <v>0</v>
      </c>
      <c r="R214" s="91" t="str">
        <f t="shared" si="58"/>
        <v>S</v>
      </c>
      <c r="S214" s="24">
        <v>160</v>
      </c>
      <c r="T214" s="179">
        <f t="shared" si="52"/>
        <v>0</v>
      </c>
      <c r="U214" s="175" t="str">
        <f t="shared" si="53"/>
        <v/>
      </c>
      <c r="V214" s="175" t="str">
        <f t="shared" si="51"/>
        <v/>
      </c>
      <c r="W214" s="13" t="str">
        <f t="shared" si="54"/>
        <v/>
      </c>
      <c r="X214" s="13"/>
      <c r="Y214" s="140"/>
      <c r="Z214" s="67" t="s">
        <v>622</v>
      </c>
      <c r="AA214" s="68" t="s">
        <v>623</v>
      </c>
      <c r="AB214" s="68" t="s">
        <v>571</v>
      </c>
      <c r="AC214" s="69" t="s">
        <v>403</v>
      </c>
      <c r="AD214" s="70">
        <v>53406</v>
      </c>
    </row>
    <row r="215" spans="1:30" x14ac:dyDescent="0.35">
      <c r="A215" s="157" t="s">
        <v>650</v>
      </c>
      <c r="B215" s="95" t="s">
        <v>219</v>
      </c>
      <c r="C215" s="96" t="s">
        <v>220</v>
      </c>
      <c r="D215" s="106">
        <v>1500</v>
      </c>
      <c r="E215" s="98">
        <v>1500</v>
      </c>
      <c r="F215" s="97">
        <v>1155</v>
      </c>
      <c r="G215" s="99">
        <f t="shared" si="59"/>
        <v>1500</v>
      </c>
      <c r="H215" s="98"/>
      <c r="I215" s="100"/>
      <c r="J215" s="97"/>
      <c r="K215" s="97"/>
      <c r="L215" s="99">
        <f>IF(I215="",0,IF(K215&gt;0,0,IF(I215="A",H215,IF(I215="M",H215*12,IF(I215="W",H215*(Lookups!$B$9+1),IF(I215="B",H215*(+Lookups!$B$10),IF(I215="S",H215*2,IF(AND(H215=0,K215&gt;0),K215,"ERROR"))))))))</f>
        <v>0</v>
      </c>
      <c r="M215" s="98"/>
      <c r="N215" s="100"/>
      <c r="O215" s="97"/>
      <c r="P215" s="99">
        <f>IF(M215="",0,IF(O215&gt;0,0,IF(N215="A",M215,IF(N215="M",M215*12,IF(N215="W",M215*Lookups!B$9,IF(N215="B",M215*+Lookups!B$10,IF(N215="S",M215*2,IF(AND(M215=0,O215&gt;0),O215,"ERROR"))))))))</f>
        <v>0</v>
      </c>
      <c r="Q215" s="101" t="str">
        <f>IF(OR(AND(P215=0,H215=0),O215&gt;0),"",IF(AND(I215="W",N215="W"),ROUND(P215-(H215*Lookups!$B$9),0),ROUND(+P215-L215,0)))</f>
        <v/>
      </c>
      <c r="R215" s="154" t="s">
        <v>643</v>
      </c>
      <c r="S215" s="106"/>
      <c r="T215" s="182" t="str">
        <f t="shared" si="52"/>
        <v/>
      </c>
      <c r="U215" s="178" t="str">
        <f t="shared" si="53"/>
        <v/>
      </c>
      <c r="V215" s="178" t="str">
        <f t="shared" si="51"/>
        <v/>
      </c>
      <c r="W215" s="97" t="str">
        <f t="shared" si="54"/>
        <v/>
      </c>
      <c r="X215" s="97"/>
      <c r="Y215" s="143" t="s">
        <v>513</v>
      </c>
      <c r="Z215" s="103"/>
      <c r="AA215" s="103"/>
      <c r="AB215" s="103"/>
      <c r="AC215" s="104"/>
      <c r="AD215" s="105"/>
    </row>
    <row r="216" spans="1:30" x14ac:dyDescent="0.35">
      <c r="B216" s="28" t="s">
        <v>221</v>
      </c>
      <c r="C216" s="4" t="s">
        <v>222</v>
      </c>
      <c r="D216" s="24">
        <v>5100</v>
      </c>
      <c r="E216" s="22">
        <v>5100</v>
      </c>
      <c r="F216" s="13">
        <v>3825</v>
      </c>
      <c r="G216" s="27">
        <f t="shared" si="59"/>
        <v>5100</v>
      </c>
      <c r="H216" s="22">
        <v>425</v>
      </c>
      <c r="I216" s="26" t="s">
        <v>44</v>
      </c>
      <c r="J216" s="13">
        <v>5100</v>
      </c>
      <c r="K216" s="13"/>
      <c r="L216" s="27">
        <f>IF(I216="",0,IF(K216&gt;0,0,IF(I216="A",H216,IF(I216="M",H216*12,IF(I216="W",H216*(Lookups!$B$9+1),IF(I216="B",H216*(+Lookups!$B$10),IF(I216="S",H216*2,IF(AND(H216=0,K216&gt;0),K216,"ERROR"))))))))</f>
        <v>5100</v>
      </c>
      <c r="M216" s="22">
        <v>425</v>
      </c>
      <c r="N216" s="26" t="s">
        <v>44</v>
      </c>
      <c r="O216" s="13"/>
      <c r="P216" s="27">
        <f>IF(M216="",0,IF(O216&gt;0,0,IF(N216="A",M216,IF(N216="M",M216*12,IF(N216="W",M216*Lookups!B$9,IF(N216="B",M216*+Lookups!B$10,IF(N216="S",M216*2,IF(AND(M216=0,O216&gt;0),O216,"ERROR"))))))))</f>
        <v>5100</v>
      </c>
      <c r="Q216" s="149">
        <f>IF(OR(AND(P216=0,H216=0),O216&gt;0),"",IF(AND(I216="W",N216="W"),ROUND(P216-(H216*Lookups!$B$9),0),ROUND(+P216-L216,0)))</f>
        <v>0</v>
      </c>
      <c r="R216" s="91" t="str">
        <f t="shared" si="58"/>
        <v>S</v>
      </c>
      <c r="S216" s="24">
        <v>850</v>
      </c>
      <c r="T216" s="179">
        <f t="shared" si="52"/>
        <v>0</v>
      </c>
      <c r="U216" s="175" t="str">
        <f t="shared" si="53"/>
        <v/>
      </c>
      <c r="V216" s="175" t="str">
        <f t="shared" si="51"/>
        <v/>
      </c>
      <c r="W216" s="13">
        <f t="shared" si="54"/>
        <v>5100</v>
      </c>
      <c r="X216" s="174" t="s">
        <v>677</v>
      </c>
      <c r="Y216" s="140"/>
      <c r="Z216" s="67" t="s">
        <v>624</v>
      </c>
      <c r="AA216" s="68" t="s">
        <v>625</v>
      </c>
      <c r="AB216" s="68" t="s">
        <v>426</v>
      </c>
      <c r="AC216" s="69" t="s">
        <v>403</v>
      </c>
      <c r="AD216" s="70">
        <v>53402</v>
      </c>
    </row>
    <row r="217" spans="1:30" x14ac:dyDescent="0.35">
      <c r="B217" s="28" t="s">
        <v>223</v>
      </c>
      <c r="C217" s="4" t="s">
        <v>220</v>
      </c>
      <c r="D217" s="24">
        <v>1104</v>
      </c>
      <c r="E217" s="22">
        <v>1128</v>
      </c>
      <c r="F217" s="13">
        <v>846</v>
      </c>
      <c r="G217" s="27">
        <f t="shared" si="59"/>
        <v>1128</v>
      </c>
      <c r="H217" s="22">
        <v>95</v>
      </c>
      <c r="I217" s="26" t="s">
        <v>44</v>
      </c>
      <c r="J217" s="13">
        <v>1140</v>
      </c>
      <c r="K217" s="13"/>
      <c r="L217" s="27">
        <f>IF(I217="",0,IF(K217&gt;0,0,IF(I217="A",H217,IF(I217="M",H217*12,IF(I217="W",H217*(Lookups!$B$9+1),IF(I217="B",H217*(+Lookups!$B$10),IF(I217="S",H217*2,IF(AND(H217=0,K217&gt;0),K217,"ERROR"))))))))</f>
        <v>1140</v>
      </c>
      <c r="M217" s="22">
        <v>95</v>
      </c>
      <c r="N217" s="26" t="s">
        <v>44</v>
      </c>
      <c r="O217" s="13"/>
      <c r="P217" s="27">
        <f>IF(M217="",0,IF(O217&gt;0,0,IF(N217="A",M217,IF(N217="M",M217*12,IF(N217="W",M217*Lookups!B$9,IF(N217="B",M217*+Lookups!B$10,IF(N217="S",M217*2,IF(AND(M217=0,O217&gt;0),O217,"ERROR"))))))))</f>
        <v>1140</v>
      </c>
      <c r="Q217" s="149">
        <f>IF(OR(AND(P217=0,H217=0),O217&gt;0),"",IF(AND(I217="W",N217="W"),ROUND(P217-(H217*Lookups!$B$9),0),ROUND(+P217-L217,0)))</f>
        <v>0</v>
      </c>
      <c r="R217" s="91" t="str">
        <f t="shared" si="58"/>
        <v>S</v>
      </c>
      <c r="S217" s="24">
        <v>200</v>
      </c>
      <c r="T217" s="179">
        <f t="shared" si="52"/>
        <v>0</v>
      </c>
      <c r="U217" s="175" t="str">
        <f t="shared" si="53"/>
        <v/>
      </c>
      <c r="V217" s="175" t="str">
        <f t="shared" si="51"/>
        <v/>
      </c>
      <c r="W217" s="13" t="str">
        <f t="shared" si="54"/>
        <v/>
      </c>
      <c r="X217" s="13"/>
      <c r="Y217" s="140"/>
      <c r="Z217" s="67" t="s">
        <v>626</v>
      </c>
      <c r="AA217" s="68" t="s">
        <v>627</v>
      </c>
      <c r="AB217" s="68" t="s">
        <v>426</v>
      </c>
      <c r="AC217" s="69" t="s">
        <v>403</v>
      </c>
      <c r="AD217" s="70">
        <v>53402</v>
      </c>
    </row>
    <row r="218" spans="1:30" x14ac:dyDescent="0.35">
      <c r="B218" s="170" t="s">
        <v>224</v>
      </c>
      <c r="C218" s="86" t="s">
        <v>225</v>
      </c>
      <c r="D218" s="107">
        <v>5400</v>
      </c>
      <c r="E218" s="88">
        <v>5400</v>
      </c>
      <c r="F218" s="87">
        <v>4050</v>
      </c>
      <c r="G218" s="89">
        <f t="shared" si="59"/>
        <v>5400</v>
      </c>
      <c r="H218" s="88">
        <v>450</v>
      </c>
      <c r="I218" s="90" t="s">
        <v>44</v>
      </c>
      <c r="J218" s="87">
        <v>4500</v>
      </c>
      <c r="K218" s="87"/>
      <c r="L218" s="27">
        <f>IF(I218="",0,IF(K218&gt;0,0,IF(I218="A",H218,IF(I218="M",H218*12,IF(I218="W",H218*(Lookups!$B$9+1),IF(I218="B",H218*(+Lookups!$B$10),IF(I218="S",H218*2,IF(AND(H218=0,K218&gt;0),K218,"ERROR"))))))))</f>
        <v>5400</v>
      </c>
      <c r="M218" s="88"/>
      <c r="N218" s="90"/>
      <c r="O218" s="87">
        <v>2000</v>
      </c>
      <c r="P218" s="27">
        <f>IF(M218="",0,IF(O218&gt;0,0,IF(N218="A",M218,IF(N218="M",M218*12,IF(N218="W",M218*Lookups!B$9,IF(N218="B",M218*+Lookups!B$10,IF(N218="S",M218*2,IF(AND(M218=0,O218&gt;0),O218,"ERROR"))))))))</f>
        <v>0</v>
      </c>
      <c r="Q218" s="149" t="str">
        <f>IF(OR(AND(P218=0,H218=0),O218&gt;0),"",IF(AND(I218="W",N218="W"),ROUND(P218-(H218*Lookups!$B$9),0),ROUND(+P218-L218,0)))</f>
        <v/>
      </c>
      <c r="R218" s="91" t="str">
        <f t="shared" si="58"/>
        <v>E</v>
      </c>
      <c r="S218" s="107"/>
      <c r="T218" s="181" t="str">
        <f t="shared" si="52"/>
        <v/>
      </c>
      <c r="U218" s="177">
        <f t="shared" si="53"/>
        <v>2000</v>
      </c>
      <c r="V218" s="177" t="str">
        <f t="shared" si="51"/>
        <v/>
      </c>
      <c r="W218" s="87" t="str">
        <f t="shared" si="54"/>
        <v/>
      </c>
      <c r="X218" s="87"/>
      <c r="Y218" s="142"/>
      <c r="Z218" s="92"/>
      <c r="AA218" s="92"/>
      <c r="AB218" s="92"/>
      <c r="AC218" s="93"/>
      <c r="AD218" s="94"/>
    </row>
    <row r="219" spans="1:30" x14ac:dyDescent="0.35">
      <c r="B219" s="170" t="s">
        <v>224</v>
      </c>
      <c r="C219" s="86" t="s">
        <v>672</v>
      </c>
      <c r="D219" s="107"/>
      <c r="E219" s="88"/>
      <c r="F219" s="87"/>
      <c r="G219" s="89">
        <f t="shared" ref="G219" si="60">IF(E219=0,F219,IF(AND(F219=0,J219="A"),E219,IF(F219&gt;E219,F219, IF(F219/E219&gt;0.73,E219,F219))))</f>
        <v>0</v>
      </c>
      <c r="H219" s="88"/>
      <c r="I219" s="90" t="s">
        <v>44</v>
      </c>
      <c r="J219" s="87">
        <v>220</v>
      </c>
      <c r="K219" s="87"/>
      <c r="L219" s="27">
        <f>IF(I219="",0,IF(K219&gt;0,0,IF(I219="A",H219,IF(I219="M",H219*12,IF(I219="W",H219*(Lookups!$B$9+1),IF(I219="B",H219*(+Lookups!$B$10),IF(I219="S",H219*2,IF(AND(H219=0,K219&gt;0),K219,"ERROR"))))))))</f>
        <v>0</v>
      </c>
      <c r="M219" s="88"/>
      <c r="N219" s="90"/>
      <c r="O219" s="87"/>
      <c r="P219" s="27">
        <f>IF(M219="",0,IF(O219&gt;0,0,IF(N219="A",M219,IF(N219="M",M219*12,IF(N219="W",M219*Lookups!B$9,IF(N219="B",M219*+Lookups!B$10,IF(N219="S",M219*2,IF(AND(M219=0,O219&gt;0),O219,"ERROR"))))))))</f>
        <v>0</v>
      </c>
      <c r="Q219" s="149" t="str">
        <f>IF(OR(AND(P219=0,H219=0),O219&gt;0),"",IF(AND(I219="W",N219="W"),ROUND(P219-(H219*Lookups!$B$9),0),ROUND(+P219-L219,0)))</f>
        <v/>
      </c>
      <c r="R219" s="91" t="str">
        <f t="shared" ref="R219" si="61">IF(AND(O219&gt;0,J219&gt;0),"E",IF(Q219="","",IF(Q219=0,"S",IF(AND(Q219&gt;0,NOT(H219=0)),"I",IF(AND(Q219&gt;0,H219=0),"N",IF(Q219&lt;0,"D","ERROR"))))))</f>
        <v/>
      </c>
      <c r="S219" s="107">
        <v>90</v>
      </c>
      <c r="T219" s="181">
        <f t="shared" si="52"/>
        <v>0</v>
      </c>
      <c r="U219" s="177" t="str">
        <f t="shared" si="53"/>
        <v/>
      </c>
      <c r="V219" s="177">
        <f t="shared" si="51"/>
        <v>540</v>
      </c>
      <c r="W219" s="87" t="str">
        <f t="shared" si="54"/>
        <v/>
      </c>
      <c r="X219" s="87"/>
      <c r="Y219" s="142"/>
      <c r="Z219" s="92"/>
      <c r="AA219" s="92"/>
      <c r="AB219" s="92"/>
      <c r="AC219" s="93"/>
      <c r="AD219" s="94"/>
    </row>
    <row r="220" spans="1:30" x14ac:dyDescent="0.35">
      <c r="B220" s="170" t="s">
        <v>224</v>
      </c>
      <c r="C220" s="86" t="s">
        <v>642</v>
      </c>
      <c r="D220" s="107"/>
      <c r="E220" s="88"/>
      <c r="F220" s="87"/>
      <c r="G220" s="89">
        <f t="shared" si="59"/>
        <v>0</v>
      </c>
      <c r="H220" s="88"/>
      <c r="I220" s="90"/>
      <c r="J220" s="87">
        <v>200</v>
      </c>
      <c r="K220" s="87"/>
      <c r="L220" s="27">
        <f>IF(I220="",0,IF(K220&gt;0,0,IF(I220="A",H220,IF(I220="M",H220*12,IF(I220="W",H220*(Lookups!$B$9+1),IF(I220="B",H220*(+Lookups!$B$10),IF(I220="S",H220*2,IF(AND(H220=0,K220&gt;0),K220,"ERROR"))))))))</f>
        <v>0</v>
      </c>
      <c r="M220" s="88"/>
      <c r="N220" s="90"/>
      <c r="O220" s="87"/>
      <c r="P220" s="27">
        <f>IF(M220="",0,IF(O220&gt;0,0,IF(N220="A",M220,IF(N220="M",M220*12,IF(N220="W",M220*Lookups!B$9,IF(N220="B",M220*+Lookups!B$10,IF(N220="S",M220*2,IF(AND(M220=0,O220&gt;0),O220,"ERROR"))))))))</f>
        <v>0</v>
      </c>
      <c r="Q220" s="149" t="str">
        <f>IF(OR(AND(P220=0,H220=0),O220&gt;0),"",IF(AND(I220="W",N220="W"),ROUND(P220-(H220*Lookups!$B$9),0),ROUND(+P220-L220,0)))</f>
        <v/>
      </c>
      <c r="R220" s="91" t="str">
        <f t="shared" si="58"/>
        <v/>
      </c>
      <c r="S220" s="107">
        <v>150</v>
      </c>
      <c r="T220" s="181">
        <f t="shared" si="52"/>
        <v>0</v>
      </c>
      <c r="U220" s="177" t="str">
        <f t="shared" si="53"/>
        <v/>
      </c>
      <c r="V220" s="177">
        <f t="shared" si="51"/>
        <v>900</v>
      </c>
      <c r="W220" s="87" t="str">
        <f t="shared" si="54"/>
        <v/>
      </c>
      <c r="X220" s="87"/>
      <c r="Y220" s="142"/>
      <c r="Z220" s="92"/>
      <c r="AA220" s="92"/>
      <c r="AB220" s="92"/>
      <c r="AC220" s="93"/>
      <c r="AD220" s="94"/>
    </row>
    <row r="221" spans="1:30" x14ac:dyDescent="0.35">
      <c r="A221" s="157" t="s">
        <v>650</v>
      </c>
      <c r="B221" s="171" t="s">
        <v>356</v>
      </c>
      <c r="C221" s="96" t="s">
        <v>357</v>
      </c>
      <c r="D221" s="106">
        <v>5500</v>
      </c>
      <c r="E221" s="98"/>
      <c r="F221" s="97">
        <v>100</v>
      </c>
      <c r="G221" s="99">
        <f t="shared" si="59"/>
        <v>100</v>
      </c>
      <c r="H221" s="98"/>
      <c r="I221" s="100"/>
      <c r="J221" s="97"/>
      <c r="K221" s="97"/>
      <c r="L221" s="99">
        <f>IF(I221="",0,IF(K221&gt;0,0,IF(I221="A",H221,IF(I221="M",H221*12,IF(I221="W",H221*(Lookups!$B$9+1),IF(I221="B",H221*(+Lookups!$B$10),IF(I221="S",H221*2,IF(AND(H221=0,K221&gt;0),K221,"ERROR"))))))))</f>
        <v>0</v>
      </c>
      <c r="M221" s="98"/>
      <c r="N221" s="100"/>
      <c r="O221" s="97"/>
      <c r="P221" s="99">
        <f>IF(M221="",0,IF(O221&gt;0,0,IF(N221="A",M221,IF(N221="M",M221*12,IF(N221="W",M221*Lookups!B$9,IF(N221="B",M221*+Lookups!B$10,IF(N221="S",M221*2,IF(AND(M221=0,O221&gt;0),O221,"ERROR"))))))))</f>
        <v>0</v>
      </c>
      <c r="Q221" s="101" t="str">
        <f>IF(OR(AND(P221=0,H221=0),O221&gt;0),"",IF(AND(I221="W",N221="W"),ROUND(P221-(H221*Lookups!$B$9),0),ROUND(+P221-L221,0)))</f>
        <v/>
      </c>
      <c r="R221" s="102" t="str">
        <f t="shared" si="58"/>
        <v/>
      </c>
      <c r="S221" s="106"/>
      <c r="T221" s="182" t="str">
        <f t="shared" si="52"/>
        <v/>
      </c>
      <c r="U221" s="178" t="str">
        <f t="shared" si="53"/>
        <v/>
      </c>
      <c r="V221" s="178" t="str">
        <f t="shared" si="51"/>
        <v/>
      </c>
      <c r="W221" s="97" t="str">
        <f t="shared" si="54"/>
        <v/>
      </c>
      <c r="X221" s="97"/>
      <c r="Y221" s="143"/>
      <c r="Z221" s="103" t="s">
        <v>510</v>
      </c>
      <c r="AA221" s="103"/>
      <c r="AB221" s="103"/>
      <c r="AC221" s="104"/>
      <c r="AD221" s="105"/>
    </row>
    <row r="222" spans="1:30" x14ac:dyDescent="0.35">
      <c r="B222" s="166" t="s">
        <v>226</v>
      </c>
      <c r="C222" s="4" t="s">
        <v>227</v>
      </c>
      <c r="D222" s="24">
        <v>2080</v>
      </c>
      <c r="E222" s="22">
        <v>2600</v>
      </c>
      <c r="F222" s="13">
        <v>1440</v>
      </c>
      <c r="G222" s="27">
        <f t="shared" si="59"/>
        <v>1440</v>
      </c>
      <c r="H222" s="22">
        <v>50</v>
      </c>
      <c r="I222" s="26" t="s">
        <v>43</v>
      </c>
      <c r="J222" s="13">
        <v>2600</v>
      </c>
      <c r="K222" s="13"/>
      <c r="L222" s="27">
        <f>IF(I222="",0,IF(K222&gt;0,0,IF(I222="A",H222,IF(I222="M",H222*12,IF(I222="W",H222*(Lookups!$B$9+1),IF(I222="B",H222*(+Lookups!$B$10),IF(I222="S",H222*2,IF(AND(H222=0,K222&gt;0),K222,"ERROR"))))))))</f>
        <v>2650</v>
      </c>
      <c r="M222" s="22"/>
      <c r="N222" s="26"/>
      <c r="O222" s="13">
        <v>1500</v>
      </c>
      <c r="P222" s="27">
        <f>IF(M222="",0,IF(O222&gt;0,0,IF(N222="A",M222,IF(N222="M",M222*12,IF(N222="W",M222*Lookups!B$9,IF(N222="B",M222*+Lookups!B$10,IF(N222="S",M222*2,IF(AND(M222=0,O222&gt;0),O222,"ERROR"))))))))</f>
        <v>0</v>
      </c>
      <c r="Q222" s="149" t="str">
        <f>IF(OR(AND(P222=0,H222=0),O222&gt;0),"",IF(AND(I222="W",N222="W"),ROUND(P222-(H222*Lookups!$B$9),0),ROUND(+P222-L222,0)))</f>
        <v/>
      </c>
      <c r="R222" s="91" t="str">
        <f t="shared" si="58"/>
        <v>E</v>
      </c>
      <c r="S222" s="24">
        <v>450</v>
      </c>
      <c r="T222" s="179">
        <f t="shared" si="52"/>
        <v>1500</v>
      </c>
      <c r="U222" s="175" t="str">
        <f t="shared" si="53"/>
        <v/>
      </c>
      <c r="V222" s="175" t="str">
        <f t="shared" si="51"/>
        <v/>
      </c>
      <c r="W222" s="13" t="str">
        <f t="shared" si="54"/>
        <v/>
      </c>
      <c r="X222" s="13"/>
      <c r="Y222" s="140"/>
      <c r="Z222" s="67" t="s">
        <v>499</v>
      </c>
      <c r="AA222" s="68" t="s">
        <v>500</v>
      </c>
      <c r="AB222" s="68" t="s">
        <v>402</v>
      </c>
      <c r="AC222" s="69" t="s">
        <v>403</v>
      </c>
      <c r="AD222" s="70">
        <v>53406</v>
      </c>
    </row>
    <row r="223" spans="1:30" x14ac:dyDescent="0.35">
      <c r="A223" s="157" t="s">
        <v>650</v>
      </c>
      <c r="B223" s="166" t="s">
        <v>358</v>
      </c>
      <c r="C223" s="4" t="s">
        <v>359</v>
      </c>
      <c r="D223" s="24">
        <v>1200</v>
      </c>
      <c r="E223" s="22"/>
      <c r="F223" s="13"/>
      <c r="G223" s="27">
        <f t="shared" si="59"/>
        <v>0</v>
      </c>
      <c r="H223" s="22"/>
      <c r="I223" s="26"/>
      <c r="J223" s="13"/>
      <c r="K223" s="13"/>
      <c r="L223" s="27">
        <f>IF(I223="",0,IF(K223&gt;0,0,IF(I223="A",H223,IF(I223="M",H223*12,IF(I223="W",H223*(Lookups!$B$9+1),IF(I223="B",H223*(+Lookups!$B$10),IF(I223="S",H223*2,IF(AND(H223=0,K223&gt;0),K223,"ERROR"))))))))</f>
        <v>0</v>
      </c>
      <c r="M223" s="22"/>
      <c r="N223" s="26"/>
      <c r="O223" s="13"/>
      <c r="P223" s="27">
        <f>IF(M223="",0,IF(O223&gt;0,0,IF(N223="A",M223,IF(N223="M",M223*12,IF(N223="W",M223*Lookups!B$9,IF(N223="B",M223*+Lookups!B$10,IF(N223="S",M223*2,IF(AND(M223=0,O223&gt;0),O223,"ERROR"))))))))</f>
        <v>0</v>
      </c>
      <c r="Q223" s="149" t="str">
        <f>IF(OR(AND(P223=0,H223=0),O223&gt;0),"",IF(AND(I223="W",N223="W"),ROUND(P223-(H223*Lookups!$B$9),0),ROUND(+P223-L223,0)))</f>
        <v/>
      </c>
      <c r="R223" s="91" t="str">
        <f t="shared" si="58"/>
        <v/>
      </c>
      <c r="S223" s="24"/>
      <c r="T223" s="179" t="str">
        <f t="shared" si="52"/>
        <v/>
      </c>
      <c r="U223" s="175" t="str">
        <f t="shared" si="53"/>
        <v/>
      </c>
      <c r="V223" s="175" t="str">
        <f t="shared" si="51"/>
        <v/>
      </c>
      <c r="W223" s="13" t="str">
        <f t="shared" si="54"/>
        <v/>
      </c>
      <c r="X223" s="13"/>
      <c r="Y223" s="140"/>
    </row>
    <row r="224" spans="1:30" x14ac:dyDescent="0.35">
      <c r="B224" s="166" t="s">
        <v>228</v>
      </c>
      <c r="C224" s="4" t="s">
        <v>229</v>
      </c>
      <c r="D224" s="24">
        <v>3965</v>
      </c>
      <c r="E224" s="22">
        <v>4160</v>
      </c>
      <c r="F224" s="13">
        <v>3040</v>
      </c>
      <c r="G224" s="27">
        <f t="shared" si="59"/>
        <v>4160</v>
      </c>
      <c r="H224" s="22">
        <v>80</v>
      </c>
      <c r="I224" s="26" t="s">
        <v>43</v>
      </c>
      <c r="J224" s="13">
        <v>4240</v>
      </c>
      <c r="K224" s="13"/>
      <c r="L224" s="27">
        <f>IF(I224="",0,IF(K224&gt;0,0,IF(I224="A",H224,IF(I224="M",H224*12,IF(I224="W",H224*(Lookups!$B$9+1),IF(I224="B",H224*(+Lookups!$B$10),IF(I224="S",H224*2,IF(AND(H224=0,K224&gt;0),K224,"ERROR"))))))))</f>
        <v>4240</v>
      </c>
      <c r="M224" s="22">
        <v>80</v>
      </c>
      <c r="N224" s="26" t="s">
        <v>43</v>
      </c>
      <c r="O224" s="13"/>
      <c r="P224" s="27">
        <f>IF(M224="",0,IF(O224&gt;0,0,IF(N224="A",M224,IF(N224="M",M224*12,IF(N224="W",M224*Lookups!B$9,IF(N224="B",M224*+Lookups!B$10,IF(N224="S",M224*2,IF(AND(M224=0,O224&gt;0),O224,"ERROR"))))))))</f>
        <v>4160</v>
      </c>
      <c r="Q224" s="149">
        <f>IF(OR(AND(P224=0,H224=0),O224&gt;0),"",IF(AND(I224="W",N224="W"),ROUND(P224-(H224*Lookups!$B$9),0),ROUND(+P224-L224,0)))</f>
        <v>0</v>
      </c>
      <c r="R224" s="91" t="str">
        <f t="shared" si="58"/>
        <v>S</v>
      </c>
      <c r="S224" s="24">
        <v>640</v>
      </c>
      <c r="T224" s="179">
        <f t="shared" si="52"/>
        <v>0</v>
      </c>
      <c r="U224" s="175" t="str">
        <f t="shared" si="53"/>
        <v/>
      </c>
      <c r="V224" s="175" t="str">
        <f t="shared" si="51"/>
        <v/>
      </c>
      <c r="W224" s="13" t="str">
        <f t="shared" si="54"/>
        <v/>
      </c>
      <c r="X224" s="13"/>
      <c r="Y224" s="140"/>
      <c r="AA224" s="73" t="s">
        <v>501</v>
      </c>
      <c r="AB224" s="68" t="s">
        <v>426</v>
      </c>
      <c r="AC224" s="69" t="s">
        <v>403</v>
      </c>
      <c r="AD224" s="70">
        <v>53403</v>
      </c>
    </row>
    <row r="225" spans="1:30" x14ac:dyDescent="0.35">
      <c r="A225" s="157" t="s">
        <v>650</v>
      </c>
      <c r="B225" s="171" t="s">
        <v>228</v>
      </c>
      <c r="C225" s="96" t="s">
        <v>360</v>
      </c>
      <c r="D225" s="106">
        <v>2650</v>
      </c>
      <c r="E225" s="98"/>
      <c r="F225" s="97">
        <v>1250</v>
      </c>
      <c r="G225" s="99">
        <f t="shared" si="59"/>
        <v>1250</v>
      </c>
      <c r="H225" s="98"/>
      <c r="I225" s="100"/>
      <c r="J225" s="97"/>
      <c r="K225" s="97"/>
      <c r="L225" s="99">
        <f>IF(I225="",0,IF(K225&gt;0,0,IF(I225="A",H225,IF(I225="M",H225*12,IF(I225="W",H225*(Lookups!$B$9+1),IF(I225="B",H225*(+Lookups!$B$10),IF(I225="S",H225*2,IF(AND(H225=0,K225&gt;0),K225,"ERROR"))))))))</f>
        <v>0</v>
      </c>
      <c r="M225" s="98"/>
      <c r="N225" s="100"/>
      <c r="O225" s="97"/>
      <c r="P225" s="99">
        <f>IF(M225="",0,IF(O225&gt;0,0,IF(N225="A",M225,IF(N225="M",M225*12,IF(N225="W",M225*Lookups!B$9,IF(N225="B",M225*+Lookups!B$10,IF(N225="S",M225*2,IF(AND(M225=0,O225&gt;0),O225,"ERROR"))))))))</f>
        <v>0</v>
      </c>
      <c r="Q225" s="149" t="str">
        <f>IF(OR(AND(P225=0,H225=0),O225&gt;0),"",IF(AND(I225="W",N225="W"),ROUND(P225-(H225*Lookups!$B$9),0),ROUND(+P225-L225,0)))</f>
        <v/>
      </c>
      <c r="R225" s="91" t="str">
        <f t="shared" si="58"/>
        <v/>
      </c>
      <c r="S225" s="106"/>
      <c r="T225" s="182" t="str">
        <f t="shared" si="52"/>
        <v/>
      </c>
      <c r="U225" s="178" t="str">
        <f t="shared" si="53"/>
        <v/>
      </c>
      <c r="V225" s="178" t="str">
        <f t="shared" si="51"/>
        <v/>
      </c>
      <c r="W225" s="97" t="str">
        <f t="shared" si="54"/>
        <v/>
      </c>
      <c r="X225" s="97"/>
      <c r="Y225" s="143"/>
      <c r="Z225" s="103" t="s">
        <v>510</v>
      </c>
      <c r="AA225" s="103"/>
      <c r="AB225" s="103"/>
      <c r="AC225" s="104"/>
      <c r="AD225" s="105"/>
    </row>
    <row r="226" spans="1:30" x14ac:dyDescent="0.35">
      <c r="B226" s="166" t="s">
        <v>230</v>
      </c>
      <c r="C226" s="4" t="s">
        <v>231</v>
      </c>
      <c r="D226" s="24">
        <v>5500</v>
      </c>
      <c r="E226" s="22">
        <v>5500</v>
      </c>
      <c r="F226" s="13">
        <v>4500</v>
      </c>
      <c r="G226" s="27">
        <f t="shared" si="59"/>
        <v>5500</v>
      </c>
      <c r="H226" s="22">
        <v>4800</v>
      </c>
      <c r="I226" s="26" t="s">
        <v>40</v>
      </c>
      <c r="J226" s="13">
        <v>5200</v>
      </c>
      <c r="K226" s="13"/>
      <c r="L226" s="27">
        <f>IF(I226="",0,IF(K226&gt;0,0,IF(I226="A",H226,IF(I226="M",H226*12,IF(I226="W",H226*(Lookups!$B$9+1),IF(I226="B",H226*(+Lookups!$B$10),IF(I226="S",H226*2,IF(AND(H226=0,K226&gt;0),K226,"ERROR"))))))))</f>
        <v>4800</v>
      </c>
      <c r="M226" s="22">
        <v>450</v>
      </c>
      <c r="N226" s="26" t="s">
        <v>44</v>
      </c>
      <c r="O226" s="13"/>
      <c r="P226" s="27">
        <f>IF(M226="",0,IF(O226&gt;0,0,IF(N226="A",M226,IF(N226="M",M226*12,IF(N226="W",M226*Lookups!B$9,IF(N226="B",M226*+Lookups!B$10,IF(N226="S",M226*2,IF(AND(M226=0,O226&gt;0),O226,"ERROR"))))))))</f>
        <v>5400</v>
      </c>
      <c r="Q226" s="149">
        <f>IF(OR(AND(P226=0,H226=0),O226&gt;0),"",IF(AND(I226="W",N226="W"),ROUND(P226-(H226*Lookups!$B$9),0),ROUND(+P226-L226,0)))</f>
        <v>600</v>
      </c>
      <c r="R226" s="91" t="str">
        <f t="shared" si="58"/>
        <v>I</v>
      </c>
      <c r="S226" s="24">
        <v>900</v>
      </c>
      <c r="T226" s="179">
        <f t="shared" si="52"/>
        <v>0</v>
      </c>
      <c r="U226" s="175" t="str">
        <f t="shared" si="53"/>
        <v/>
      </c>
      <c r="V226" s="175" t="str">
        <f t="shared" si="51"/>
        <v/>
      </c>
      <c r="W226" s="13">
        <f t="shared" si="54"/>
        <v>5400</v>
      </c>
      <c r="X226" s="174" t="s">
        <v>676</v>
      </c>
      <c r="Y226" s="140"/>
    </row>
    <row r="227" spans="1:30" x14ac:dyDescent="0.35">
      <c r="B227" s="28" t="s">
        <v>232</v>
      </c>
      <c r="C227" s="4" t="s">
        <v>233</v>
      </c>
      <c r="D227" s="24">
        <v>735</v>
      </c>
      <c r="E227" s="22">
        <v>780</v>
      </c>
      <c r="F227" s="13">
        <v>585</v>
      </c>
      <c r="G227" s="27">
        <f t="shared" si="59"/>
        <v>780</v>
      </c>
      <c r="H227" s="22">
        <v>65</v>
      </c>
      <c r="I227" s="26" t="s">
        <v>44</v>
      </c>
      <c r="J227" s="13">
        <v>780</v>
      </c>
      <c r="K227" s="13"/>
      <c r="L227" s="27">
        <f>IF(I227="",0,IF(K227&gt;0,0,IF(I227="A",H227,IF(I227="M",H227*12,IF(I227="W",H227*(Lookups!$B$9+1),IF(I227="B",H227*(+Lookups!$B$10),IF(I227="S",H227*2,IF(AND(H227=0,K227&gt;0),K227,"ERROR"))))))))</f>
        <v>780</v>
      </c>
      <c r="M227" s="22">
        <v>75</v>
      </c>
      <c r="N227" s="26" t="s">
        <v>44</v>
      </c>
      <c r="O227" s="13"/>
      <c r="P227" s="27">
        <f>IF(M227="",0,IF(O227&gt;0,0,IF(N227="A",M227,IF(N227="M",M227*12,IF(N227="W",M227*Lookups!B$9,IF(N227="B",M227*+Lookups!B$10,IF(N227="S",M227*2,IF(AND(M227=0,O227&gt;0),O227,"ERROR"))))))))</f>
        <v>900</v>
      </c>
      <c r="Q227" s="149">
        <f>IF(OR(AND(P227=0,H227=0),O227&gt;0),"",IF(AND(I227="W",N227="W"),ROUND(P227-(H227*Lookups!$B$9),0),ROUND(+P227-L227,0)))</f>
        <v>120</v>
      </c>
      <c r="R227" s="91" t="str">
        <f t="shared" si="58"/>
        <v>I</v>
      </c>
      <c r="S227" s="24">
        <v>150</v>
      </c>
      <c r="T227" s="179">
        <f t="shared" si="52"/>
        <v>0</v>
      </c>
      <c r="U227" s="175" t="str">
        <f t="shared" si="53"/>
        <v/>
      </c>
      <c r="V227" s="175" t="str">
        <f t="shared" si="51"/>
        <v/>
      </c>
      <c r="W227" s="13" t="str">
        <f t="shared" si="54"/>
        <v/>
      </c>
      <c r="X227" s="13"/>
      <c r="Y227" s="140"/>
      <c r="Z227" s="67" t="s">
        <v>502</v>
      </c>
      <c r="AA227" s="68" t="s">
        <v>503</v>
      </c>
      <c r="AB227" s="68" t="s">
        <v>426</v>
      </c>
      <c r="AC227" s="69" t="s">
        <v>403</v>
      </c>
      <c r="AD227" s="70">
        <v>53405</v>
      </c>
    </row>
    <row r="228" spans="1:30" x14ac:dyDescent="0.35">
      <c r="B228" s="28" t="s">
        <v>361</v>
      </c>
      <c r="C228" s="4" t="s">
        <v>25</v>
      </c>
      <c r="D228" s="24">
        <v>50</v>
      </c>
      <c r="E228" s="22"/>
      <c r="F228" s="13">
        <v>100</v>
      </c>
      <c r="G228" s="27">
        <f t="shared" si="59"/>
        <v>100</v>
      </c>
      <c r="H228" s="22"/>
      <c r="I228" s="26"/>
      <c r="J228" s="13">
        <v>25</v>
      </c>
      <c r="K228" s="13"/>
      <c r="L228" s="27">
        <f>IF(I228="",0,IF(K228&gt;0,0,IF(I228="A",H228,IF(I228="M",H228*12,IF(I228="W",H228*(Lookups!$B$9+1),IF(I228="B",H228*(+Lookups!$B$10),IF(I228="S",H228*2,IF(AND(H228=0,K228&gt;0),K228,"ERROR"))))))))</f>
        <v>0</v>
      </c>
      <c r="M228" s="22"/>
      <c r="N228" s="26"/>
      <c r="O228" s="13"/>
      <c r="P228" s="27">
        <f>IF(M228="",0,IF(O228&gt;0,0,IF(N228="A",M228,IF(N228="M",M228*12,IF(N228="W",M228*Lookups!B$9,IF(N228="B",M228*+Lookups!B$10,IF(N228="S",M228*2,IF(AND(M228=0,O228&gt;0),O228,"ERROR"))))))))</f>
        <v>0</v>
      </c>
      <c r="Q228" s="149" t="str">
        <f>IF(OR(AND(P228=0,H228=0),O228&gt;0),"",IF(AND(I228="W",N228="W"),ROUND(P228-(H228*Lookups!$B$9),0),ROUND(+P228-L228,0)))</f>
        <v/>
      </c>
      <c r="R228" s="91" t="str">
        <f t="shared" si="58"/>
        <v/>
      </c>
      <c r="S228" s="24"/>
      <c r="T228" s="179" t="str">
        <f t="shared" si="52"/>
        <v/>
      </c>
      <c r="U228" s="175">
        <f t="shared" si="53"/>
        <v>0</v>
      </c>
      <c r="V228" s="175" t="str">
        <f t="shared" si="51"/>
        <v/>
      </c>
      <c r="W228" s="13" t="str">
        <f t="shared" si="54"/>
        <v/>
      </c>
      <c r="X228" s="13"/>
      <c r="Y228" s="140"/>
    </row>
    <row r="229" spans="1:30" x14ac:dyDescent="0.35">
      <c r="B229" s="166" t="s">
        <v>234</v>
      </c>
      <c r="C229" s="4" t="s">
        <v>235</v>
      </c>
      <c r="D229" s="24">
        <v>4160</v>
      </c>
      <c r="E229" s="22">
        <v>8320</v>
      </c>
      <c r="F229" s="13">
        <v>6080</v>
      </c>
      <c r="G229" s="27">
        <f t="shared" si="59"/>
        <v>8320</v>
      </c>
      <c r="H229" s="22">
        <v>160</v>
      </c>
      <c r="I229" s="26" t="s">
        <v>43</v>
      </c>
      <c r="J229" s="13">
        <v>6160</v>
      </c>
      <c r="K229" s="13"/>
      <c r="L229" s="27">
        <f>IF(I229="",0,IF(K229&gt;0,0,IF(I229="A",H229,IF(I229="M",H229*12,IF(I229="W",H229*(Lookups!$B$9+1),IF(I229="B",H229*(+Lookups!$B$10),IF(I229="S",H229*2,IF(AND(H229=0,K229&gt;0),K229,"ERROR"))))))))</f>
        <v>8480</v>
      </c>
      <c r="M229" s="22"/>
      <c r="N229" s="26"/>
      <c r="O229" s="13">
        <v>5500</v>
      </c>
      <c r="P229" s="27">
        <f>IF(M229="",0,IF(O229&gt;0,0,IF(N229="A",M229,IF(N229="M",M229*12,IF(N229="W",M229*Lookups!B$9,IF(N229="B",M229*+Lookups!B$10,IF(N229="S",M229*2,IF(AND(M229=0,O229&gt;0),O229,"ERROR"))))))))</f>
        <v>0</v>
      </c>
      <c r="Q229" s="149" t="str">
        <f>IF(OR(AND(P229=0,H229=0),O229&gt;0),"",IF(AND(I229="W",N229="W"),ROUND(P229-(H229*Lookups!$B$9),0),ROUND(+P229-L229,0)))</f>
        <v/>
      </c>
      <c r="R229" s="91" t="str">
        <f t="shared" si="58"/>
        <v>E</v>
      </c>
      <c r="S229" s="24">
        <v>1360</v>
      </c>
      <c r="T229" s="179">
        <f t="shared" si="52"/>
        <v>5500</v>
      </c>
      <c r="U229" s="175" t="str">
        <f t="shared" si="53"/>
        <v/>
      </c>
      <c r="V229" s="175" t="str">
        <f t="shared" si="51"/>
        <v/>
      </c>
      <c r="W229" s="13" t="str">
        <f t="shared" si="54"/>
        <v/>
      </c>
      <c r="X229" s="13"/>
      <c r="Y229" s="140"/>
      <c r="AA229" s="73"/>
    </row>
    <row r="230" spans="1:30" x14ac:dyDescent="0.35">
      <c r="A230" s="157" t="s">
        <v>650</v>
      </c>
      <c r="B230" s="28" t="s">
        <v>362</v>
      </c>
      <c r="C230" s="4" t="s">
        <v>28</v>
      </c>
      <c r="D230" s="24">
        <v>250</v>
      </c>
      <c r="E230" s="22"/>
      <c r="F230" s="13">
        <v>100</v>
      </c>
      <c r="G230" s="27">
        <f t="shared" si="59"/>
        <v>100</v>
      </c>
      <c r="H230" s="22"/>
      <c r="I230" s="26"/>
      <c r="J230" s="13"/>
      <c r="K230" s="13"/>
      <c r="L230" s="27">
        <f>IF(I230="",0,IF(K230&gt;0,0,IF(I230="A",H230,IF(I230="M",H230*12,IF(I230="W",H230*(Lookups!$B$9+1),IF(I230="B",H230*(+Lookups!$B$10),IF(I230="S",H230*2,IF(AND(H230=0,K230&gt;0),K230,"ERROR"))))))))</f>
        <v>0</v>
      </c>
      <c r="M230" s="22"/>
      <c r="N230" s="26"/>
      <c r="O230" s="13"/>
      <c r="P230" s="27">
        <f>IF(M230="",0,IF(O230&gt;0,0,IF(N230="A",M230,IF(N230="M",M230*12,IF(N230="W",M230*Lookups!B$9,IF(N230="B",M230*+Lookups!B$10,IF(N230="S",M230*2,IF(AND(M230=0,O230&gt;0),O230,"ERROR"))))))))</f>
        <v>0</v>
      </c>
      <c r="Q230" s="149" t="str">
        <f>IF(OR(AND(P230=0,H230=0),O230&gt;0),"",IF(AND(I230="W",N230="W"),ROUND(P230-(H230*Lookups!$B$9),0),ROUND(+P230-L230,0)))</f>
        <v/>
      </c>
      <c r="R230" s="91" t="str">
        <f t="shared" si="58"/>
        <v/>
      </c>
      <c r="S230" s="24"/>
      <c r="T230" s="179" t="str">
        <f t="shared" si="52"/>
        <v/>
      </c>
      <c r="U230" s="175" t="str">
        <f t="shared" si="53"/>
        <v/>
      </c>
      <c r="V230" s="175" t="str">
        <f t="shared" si="51"/>
        <v/>
      </c>
      <c r="W230" s="13" t="str">
        <f t="shared" si="54"/>
        <v/>
      </c>
      <c r="X230" s="13"/>
      <c r="Y230" s="140"/>
    </row>
    <row r="231" spans="1:30" x14ac:dyDescent="0.35">
      <c r="B231" s="28" t="s">
        <v>363</v>
      </c>
      <c r="C231" s="4" t="s">
        <v>364</v>
      </c>
      <c r="D231" s="24">
        <v>1525</v>
      </c>
      <c r="E231" s="22"/>
      <c r="F231" s="13">
        <v>1125</v>
      </c>
      <c r="G231" s="27">
        <f t="shared" si="59"/>
        <v>1125</v>
      </c>
      <c r="H231" s="22">
        <v>2000</v>
      </c>
      <c r="I231" s="26" t="s">
        <v>40</v>
      </c>
      <c r="J231" s="13">
        <v>1675</v>
      </c>
      <c r="K231" s="13"/>
      <c r="L231" s="27">
        <f>IF(I231="",0,IF(K231&gt;0,0,IF(I231="A",H231,IF(I231="M",H231*12,IF(I231="W",H231*(Lookups!$B$9+1),IF(I231="B",H231*(+Lookups!$B$10),IF(I231="S",H231*2,IF(AND(H231=0,K231&gt;0),K231,"ERROR"))))))))</f>
        <v>2000</v>
      </c>
      <c r="M231" s="22">
        <v>2100</v>
      </c>
      <c r="N231" s="26" t="s">
        <v>40</v>
      </c>
      <c r="O231" s="13"/>
      <c r="P231" s="27">
        <f>IF(M231="",0,IF(O231&gt;0,0,IF(N231="A",M231,IF(N231="M",M231*12,IF(N231="W",M231*Lookups!B$9,IF(N231="B",M231*+Lookups!B$10,IF(N231="S",M231*2,IF(AND(M231=0,O231&gt;0),O231,"ERROR"))))))))</f>
        <v>2100</v>
      </c>
      <c r="Q231" s="149">
        <f>IF(OR(AND(P231=0,H231=0),O231&gt;0),"",IF(AND(I231="W",N231="W"),ROUND(P231-(H231*Lookups!$B$9),0),ROUND(+P231-L231,0)))</f>
        <v>100</v>
      </c>
      <c r="R231" s="91" t="str">
        <f t="shared" si="58"/>
        <v>I</v>
      </c>
      <c r="S231" s="24">
        <v>565</v>
      </c>
      <c r="T231" s="179">
        <f t="shared" si="52"/>
        <v>0</v>
      </c>
      <c r="U231" s="175" t="str">
        <f t="shared" si="53"/>
        <v/>
      </c>
      <c r="V231" s="175" t="str">
        <f t="shared" si="51"/>
        <v/>
      </c>
      <c r="W231" s="13" t="str">
        <f t="shared" si="54"/>
        <v/>
      </c>
      <c r="X231" s="13"/>
      <c r="Y231" s="140"/>
      <c r="Z231" s="67" t="s">
        <v>504</v>
      </c>
    </row>
    <row r="232" spans="1:30" x14ac:dyDescent="0.35">
      <c r="A232" s="157" t="s">
        <v>650</v>
      </c>
      <c r="B232" s="95" t="s">
        <v>236</v>
      </c>
      <c r="C232" s="96" t="s">
        <v>237</v>
      </c>
      <c r="D232" s="106">
        <v>800</v>
      </c>
      <c r="E232" s="98">
        <v>800</v>
      </c>
      <c r="F232" s="97">
        <v>800</v>
      </c>
      <c r="G232" s="99">
        <f t="shared" si="59"/>
        <v>800</v>
      </c>
      <c r="H232" s="98"/>
      <c r="I232" s="100" t="s">
        <v>40</v>
      </c>
      <c r="J232" s="97">
        <v>200</v>
      </c>
      <c r="K232" s="97"/>
      <c r="L232" s="99">
        <f>IF(I232="",0,IF(K232&gt;0,0,IF(I232="A",H232,IF(I232="M",H232*12,IF(I232="W",H232*(Lookups!$B$9+1),IF(I232="B",H232*(+Lookups!$B$10),IF(I232="S",H232*2,IF(AND(H232=0,K232&gt;0),K232,"ERROR"))))))))</f>
        <v>0</v>
      </c>
      <c r="M232" s="98"/>
      <c r="N232" s="100"/>
      <c r="O232" s="97"/>
      <c r="P232" s="99">
        <f>IF(M232="",0,IF(O232&gt;0,0,IF(N232="A",M232,IF(N232="M",M232*12,IF(N232="W",M232*Lookups!B$9,IF(N232="B",M232*+Lookups!B$10,IF(N232="S",M232*2,IF(AND(M232=0,O232&gt;0),O232,"ERROR"))))))))</f>
        <v>0</v>
      </c>
      <c r="Q232" s="101" t="str">
        <f>IF(OR(AND(P232=0,H232=0),O232&gt;0),"",IF(AND(I232="W",N232="W"),ROUND(P232-(H232*Lookups!$B$9),0),ROUND(+P232-L232,0)))</f>
        <v/>
      </c>
      <c r="R232" s="102" t="str">
        <f t="shared" si="58"/>
        <v/>
      </c>
      <c r="S232" s="106"/>
      <c r="T232" s="182" t="str">
        <f t="shared" si="52"/>
        <v/>
      </c>
      <c r="U232" s="178">
        <f t="shared" si="53"/>
        <v>0</v>
      </c>
      <c r="V232" s="178" t="str">
        <f t="shared" si="51"/>
        <v/>
      </c>
      <c r="W232" s="97" t="str">
        <f t="shared" si="54"/>
        <v/>
      </c>
      <c r="X232" s="97"/>
      <c r="Y232" s="143"/>
      <c r="Z232" s="103" t="s">
        <v>518</v>
      </c>
      <c r="AA232" s="103"/>
      <c r="AB232" s="103"/>
      <c r="AC232" s="104"/>
      <c r="AD232" s="105"/>
    </row>
    <row r="233" spans="1:30" x14ac:dyDescent="0.35">
      <c r="B233" s="28"/>
      <c r="C233" s="4"/>
      <c r="D233" s="24"/>
      <c r="E233" s="22"/>
      <c r="F233" s="13"/>
      <c r="G233" s="27">
        <f t="shared" si="59"/>
        <v>0</v>
      </c>
      <c r="H233" s="22"/>
      <c r="I233" s="26"/>
      <c r="J233" s="13"/>
      <c r="K233" s="26"/>
      <c r="L233" s="27">
        <f>IF(I233="",0,IF(K233&gt;0,0,IF(I233="A",H233,IF(I233="M",H233*12,IF(I233="W",H233*(Lookups!$B$9+1),IF(I233="B",H233*(+Lookups!$B$10),IF(I233="S",H233*2,IF(AND(H233=0,K233&gt;0),K233,"ERROR"))))))))</f>
        <v>0</v>
      </c>
      <c r="M233" s="22"/>
      <c r="N233" s="26"/>
      <c r="O233" s="26"/>
      <c r="P233" s="27">
        <f>IF(M233="",0,IF(O233&gt;0,0,IF(N233="A",M233,IF(N233="M",M233*12,IF(N233="W",M233*Lookups!B$9,IF(N233="B",M233*+Lookups!B$10,IF(N233="S",M233*2,IF(AND(M233=0,O233&gt;0),O233,"ERROR"))))))))</f>
        <v>0</v>
      </c>
      <c r="Q233" s="149" t="str">
        <f>IF(OR(AND(P233=0,H233=0),O233&gt;0),"",IF(AND(I233="W",N233="W"),ROUND(P233-(H233*Lookups!$B$9),0),ROUND(+P233-L233,0)))</f>
        <v/>
      </c>
      <c r="R233" s="91" t="str">
        <f t="shared" si="58"/>
        <v/>
      </c>
      <c r="S233" s="165"/>
      <c r="T233" s="140" t="str">
        <f t="shared" si="52"/>
        <v/>
      </c>
      <c r="U233" s="175" t="str">
        <f t="shared" si="53"/>
        <v/>
      </c>
      <c r="V233" s="175">
        <f t="shared" si="51"/>
        <v>0</v>
      </c>
      <c r="W233" s="26" t="str">
        <f t="shared" si="54"/>
        <v/>
      </c>
      <c r="X233" s="26"/>
      <c r="Y233" s="140"/>
    </row>
    <row r="234" spans="1:30" ht="15" thickBot="1" x14ac:dyDescent="0.4">
      <c r="B234" s="23" t="s">
        <v>41</v>
      </c>
      <c r="C234" s="11"/>
      <c r="D234" s="25">
        <f>SUM(D4:D233)</f>
        <v>452163.64</v>
      </c>
      <c r="E234" s="23">
        <f>SUM(E4:E233)</f>
        <v>370377.8</v>
      </c>
      <c r="F234" s="10">
        <f>SUM(F4:F233)</f>
        <v>338933.75</v>
      </c>
      <c r="G234" s="11">
        <f>SUM(G4:G233)</f>
        <v>385026.55</v>
      </c>
      <c r="H234" s="23">
        <f>SUM(H4:H233)</f>
        <v>120341.71698113208</v>
      </c>
      <c r="I234" s="10"/>
      <c r="J234" s="10">
        <f>SUM(J4:J233)</f>
        <v>401920.44</v>
      </c>
      <c r="K234" s="10">
        <f>SUM(K4:K233)</f>
        <v>64950</v>
      </c>
      <c r="L234" s="11">
        <f>SUM(L4:L233)</f>
        <v>320430</v>
      </c>
      <c r="M234" s="23">
        <f>SUM(M4:M233)</f>
        <v>125522.1794871795</v>
      </c>
      <c r="N234" s="10"/>
      <c r="O234" s="10">
        <f>SUM(O4:O233)</f>
        <v>85900</v>
      </c>
      <c r="P234" s="11">
        <f>SUM(P4:P233)</f>
        <v>305560</v>
      </c>
      <c r="Q234" s="23">
        <f>SUM(Q4:Q233)</f>
        <v>38613</v>
      </c>
      <c r="R234" s="11"/>
      <c r="S234" s="25">
        <f>SUM(S4:S233)</f>
        <v>81973.070000000007</v>
      </c>
      <c r="T234" s="25">
        <f>SUM(T4:T233)</f>
        <v>55200</v>
      </c>
      <c r="U234" s="25">
        <f>SUM(U4:U233)</f>
        <v>30700</v>
      </c>
      <c r="V234" s="25">
        <f>SUM(V4:V233)</f>
        <v>5700</v>
      </c>
      <c r="W234" s="25">
        <f>SUM(W4:W233)</f>
        <v>157400</v>
      </c>
      <c r="X234" s="111"/>
      <c r="Y234" s="111"/>
      <c r="Z234" s="159"/>
      <c r="AA234" s="159"/>
      <c r="AB234" s="159"/>
      <c r="AC234" s="160"/>
      <c r="AD234" s="161"/>
    </row>
    <row r="235" spans="1:30" x14ac:dyDescent="0.35">
      <c r="B235" s="1" t="s">
        <v>45</v>
      </c>
      <c r="L235" s="68"/>
      <c r="Q235" s="150" t="s">
        <v>645</v>
      </c>
    </row>
    <row r="236" spans="1:30" x14ac:dyDescent="0.35">
      <c r="B236" s="1" t="str">
        <f>"**  S=Same, D= Decrease, I=Increase, N=New, E=Esimate (Pledged in "&amp;H2&amp;" but not in "&amp;M2&amp;"), X=Esimate does not pledge but gave in "&amp;H2</f>
        <v>**  S=Same, D= Decrease, I=Increase, N=New, E=Esimate (Pledged in 2023 but not in 2024), X=Esimate does not pledge but gave in 2023</v>
      </c>
      <c r="U236" s="150">
        <f>+P234+T234+U234+V234</f>
        <v>397160</v>
      </c>
    </row>
    <row r="237" spans="1:30" x14ac:dyDescent="0.35">
      <c r="J237" s="1">
        <f>401920.44-J234</f>
        <v>0</v>
      </c>
      <c r="L237" s="1">
        <f>320430-L234</f>
        <v>0</v>
      </c>
      <c r="N237" s="1" t="s">
        <v>687</v>
      </c>
      <c r="O237" s="1">
        <v>86590.86</v>
      </c>
      <c r="S237" s="150">
        <f>+S234*6</f>
        <v>491838.42000000004</v>
      </c>
      <c r="T237" s="150">
        <f>+S234-29000-5000+13333+813</f>
        <v>62119.070000000007</v>
      </c>
    </row>
    <row r="238" spans="1:30" x14ac:dyDescent="0.35">
      <c r="S238" s="150">
        <v>833.33333333333337</v>
      </c>
      <c r="T238" s="150">
        <f>+T237*6</f>
        <v>372714.42000000004</v>
      </c>
    </row>
  </sheetData>
  <autoFilter ref="A2:AD236">
    <filterColumn colId="1" showButton="0"/>
    <filterColumn colId="4" showButton="0"/>
    <filterColumn colId="5" showButton="0"/>
    <filterColumn colId="7" showButton="0"/>
    <filterColumn colId="8" showButton="0"/>
    <filterColumn colId="9" showButton="0"/>
    <filterColumn colId="10" showButton="0"/>
    <filterColumn colId="12" showButton="0"/>
    <filterColumn colId="13" showButton="0"/>
    <filterColumn colId="14" showButton="0"/>
    <filterColumn colId="16" showButton="0"/>
    <filterColumn colId="24" showButton="0"/>
    <filterColumn colId="25" showButton="0"/>
    <filterColumn colId="26" showButton="0"/>
    <filterColumn colId="27" showButton="0"/>
    <filterColumn colId="28" showButton="0"/>
  </autoFilter>
  <mergeCells count="8">
    <mergeCell ref="Y2:AD2"/>
    <mergeCell ref="B1:R1"/>
    <mergeCell ref="D2:D3"/>
    <mergeCell ref="B2:C2"/>
    <mergeCell ref="Q2:R2"/>
    <mergeCell ref="M2:P2"/>
    <mergeCell ref="H2:L2"/>
    <mergeCell ref="E2:G2"/>
  </mergeCells>
  <hyperlinks>
    <hyperlink ref="Z150" r:id="rId1"/>
    <hyperlink ref="Z11" r:id="rId2"/>
    <hyperlink ref="Z9" r:id="rId3"/>
    <hyperlink ref="Z13" r:id="rId4"/>
    <hyperlink ref="Z15" r:id="rId5"/>
    <hyperlink ref="Z17" r:id="rId6"/>
    <hyperlink ref="Z18" r:id="rId7"/>
    <hyperlink ref="Z21" r:id="rId8"/>
    <hyperlink ref="Z25" r:id="rId9"/>
    <hyperlink ref="Z30" r:id="rId10"/>
    <hyperlink ref="Z32" r:id="rId11"/>
    <hyperlink ref="Z37" r:id="rId12"/>
    <hyperlink ref="Z46" r:id="rId13"/>
    <hyperlink ref="Z55" r:id="rId14"/>
    <hyperlink ref="Z61" r:id="rId15"/>
    <hyperlink ref="Z62" r:id="rId16"/>
    <hyperlink ref="Z70" r:id="rId17"/>
    <hyperlink ref="Z72" r:id="rId18"/>
    <hyperlink ref="Z74" r:id="rId19" display="sandra.georgeson@yahoo.com"/>
    <hyperlink ref="Z75" r:id="rId20"/>
    <hyperlink ref="Z85" r:id="rId21"/>
    <hyperlink ref="Z89" r:id="rId22"/>
    <hyperlink ref="Z93" r:id="rId23"/>
    <hyperlink ref="Z94" r:id="rId24"/>
    <hyperlink ref="Z96" r:id="rId25" display="dubar@att.net"/>
    <hyperlink ref="Z99" r:id="rId26"/>
    <hyperlink ref="Z109" r:id="rId27" display="jkiemen1942@gmail.com"/>
    <hyperlink ref="Z124" r:id="rId28"/>
    <hyperlink ref="Z137" r:id="rId29"/>
    <hyperlink ref="Z138" r:id="rId30"/>
    <hyperlink ref="Z140" r:id="rId31"/>
    <hyperlink ref="Z142" r:id="rId32"/>
    <hyperlink ref="Z145" r:id="rId33"/>
    <hyperlink ref="Z153" r:id="rId34"/>
    <hyperlink ref="Z154" r:id="rId35"/>
    <hyperlink ref="Z158" r:id="rId36"/>
    <hyperlink ref="Z178" r:id="rId37"/>
    <hyperlink ref="Z189" r:id="rId38"/>
    <hyperlink ref="Z198" r:id="rId39"/>
    <hyperlink ref="Z207" r:id="rId40"/>
    <hyperlink ref="Z222" r:id="rId41"/>
    <hyperlink ref="Z227" r:id="rId42"/>
    <hyperlink ref="Z231" r:id="rId43"/>
    <hyperlink ref="Z28" r:id="rId44"/>
    <hyperlink ref="Z34" r:id="rId45"/>
    <hyperlink ref="Z38" r:id="rId46"/>
    <hyperlink ref="Z39" r:id="rId47"/>
    <hyperlink ref="Z49" r:id="rId48"/>
    <hyperlink ref="Z69" r:id="rId49"/>
    <hyperlink ref="Z76" r:id="rId50"/>
    <hyperlink ref="Z98" r:id="rId51"/>
    <hyperlink ref="Z106" r:id="rId52"/>
    <hyperlink ref="Z114" r:id="rId53"/>
    <hyperlink ref="Z118" r:id="rId54"/>
    <hyperlink ref="Z121" r:id="rId55"/>
    <hyperlink ref="Z132" r:id="rId56"/>
    <hyperlink ref="Z133" r:id="rId57"/>
    <hyperlink ref="Z152" r:id="rId58"/>
    <hyperlink ref="Z160" r:id="rId59"/>
    <hyperlink ref="Z161" r:id="rId60"/>
    <hyperlink ref="Z164" r:id="rId61"/>
    <hyperlink ref="Z163" r:id="rId62"/>
    <hyperlink ref="Z167" r:id="rId63"/>
    <hyperlink ref="Z172" r:id="rId64"/>
    <hyperlink ref="Z183" r:id="rId65"/>
    <hyperlink ref="Z184" r:id="rId66"/>
    <hyperlink ref="Z200" r:id="rId67"/>
    <hyperlink ref="Z209" r:id="rId68"/>
    <hyperlink ref="Z214" r:id="rId69"/>
    <hyperlink ref="Z216" r:id="rId70"/>
    <hyperlink ref="Z217" r:id="rId71"/>
    <hyperlink ref="Z71" r:id="rId72"/>
    <hyperlink ref="Z135" r:id="rId73"/>
    <hyperlink ref="Z143" r:id="rId74"/>
  </hyperlinks>
  <pageMargins left="0.7" right="0.7" top="0.75" bottom="0.75" header="0.3" footer="0.3"/>
  <pageSetup scale="34" fitToHeight="0" orientation="portrait" horizontalDpi="0" verticalDpi="0" r:id="rId75"/>
  <legacyDrawing r:id="rId7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workbookViewId="0">
      <selection activeCell="C18" sqref="C18"/>
    </sheetView>
  </sheetViews>
  <sheetFormatPr defaultRowHeight="14.5" x14ac:dyDescent="0.35"/>
  <cols>
    <col min="1" max="1" width="33.81640625" customWidth="1"/>
    <col min="2" max="2" width="9.81640625" customWidth="1"/>
    <col min="3" max="3" width="10.1796875" customWidth="1"/>
    <col min="5" max="5" width="9.6328125" customWidth="1"/>
    <col min="7" max="7" width="9.7265625" customWidth="1"/>
    <col min="8" max="8" width="8.1796875" customWidth="1"/>
    <col min="9" max="9" width="10" customWidth="1"/>
    <col min="11" max="11" width="14.453125" customWidth="1"/>
  </cols>
  <sheetData>
    <row r="1" spans="1:11" ht="18.5" x14ac:dyDescent="0.45">
      <c r="A1" s="183" t="s">
        <v>386</v>
      </c>
      <c r="B1" s="184"/>
      <c r="C1" s="184"/>
      <c r="D1" s="184"/>
      <c r="E1" s="184"/>
      <c r="F1" s="17"/>
    </row>
    <row r="2" spans="1:11" ht="29" x14ac:dyDescent="0.35">
      <c r="A2" s="2"/>
      <c r="B2" s="8" t="s">
        <v>48</v>
      </c>
      <c r="C2" s="12" t="s">
        <v>6</v>
      </c>
      <c r="D2" s="8" t="s">
        <v>56</v>
      </c>
      <c r="E2" s="38" t="s">
        <v>55</v>
      </c>
      <c r="F2" s="39" t="s">
        <v>54</v>
      </c>
    </row>
    <row r="3" spans="1:11" x14ac:dyDescent="0.35">
      <c r="A3" s="14" t="s">
        <v>3</v>
      </c>
      <c r="B3" s="57">
        <f>COUNTIF(Data!D$4:D233,"&gt;0")</f>
        <v>189</v>
      </c>
      <c r="C3" s="110">
        <f>+Data!D234</f>
        <v>452163.64</v>
      </c>
      <c r="D3" s="111"/>
      <c r="E3" s="110"/>
      <c r="F3" s="112"/>
    </row>
    <row r="4" spans="1:11" x14ac:dyDescent="0.35">
      <c r="A4" s="14" t="s">
        <v>533</v>
      </c>
      <c r="B4" s="57">
        <f>COUNTIF(Data!G$4:G234,"&gt;0")</f>
        <v>183</v>
      </c>
      <c r="C4" s="110">
        <f>+Data!G234</f>
        <v>385026.55</v>
      </c>
      <c r="D4" s="111"/>
      <c r="E4" s="110">
        <f>+C4-C3</f>
        <v>-67137.090000000026</v>
      </c>
      <c r="F4" s="125">
        <f>+E4/C3</f>
        <v>-0.14847963007374945</v>
      </c>
    </row>
    <row r="5" spans="1:11" x14ac:dyDescent="0.35">
      <c r="A5" s="5" t="s">
        <v>50</v>
      </c>
      <c r="B5" s="18"/>
      <c r="C5" s="31"/>
      <c r="D5" s="7"/>
      <c r="E5" s="31"/>
      <c r="F5" s="6"/>
    </row>
    <row r="6" spans="1:11" x14ac:dyDescent="0.35">
      <c r="A6" s="2" t="s">
        <v>49</v>
      </c>
      <c r="B6" s="18">
        <f>COUNTIF(Data!L$4:L233,"&gt;0")</f>
        <v>98</v>
      </c>
      <c r="C6" s="32">
        <f>+Data!L234</f>
        <v>320430</v>
      </c>
      <c r="D6" s="15">
        <f>+C6/C$8</f>
        <v>0.83146504748559869</v>
      </c>
      <c r="E6" s="32"/>
      <c r="F6" s="6"/>
    </row>
    <row r="7" spans="1:11" x14ac:dyDescent="0.35">
      <c r="A7" s="2" t="s">
        <v>53</v>
      </c>
      <c r="B7" s="18">
        <f>COUNTIF(Data!K$4:K233,"&gt;0")</f>
        <v>38</v>
      </c>
      <c r="C7" s="32">
        <f>+Data!K234</f>
        <v>64950</v>
      </c>
      <c r="D7" s="15">
        <f>+C7/C$8</f>
        <v>0.16853495251440137</v>
      </c>
      <c r="E7" s="32"/>
      <c r="F7" s="6"/>
    </row>
    <row r="8" spans="1:11" x14ac:dyDescent="0.35">
      <c r="A8" s="14" t="s">
        <v>534</v>
      </c>
      <c r="B8" s="57">
        <f>SUM(B6:B7)</f>
        <v>136</v>
      </c>
      <c r="C8" s="33">
        <f>SUM(C6:C7)</f>
        <v>385380</v>
      </c>
      <c r="D8" s="16">
        <f>+C8/C$8</f>
        <v>1</v>
      </c>
      <c r="E8" s="35">
        <f>+C8-C3</f>
        <v>-66783.640000000014</v>
      </c>
      <c r="F8" s="126">
        <f>+E8/C3</f>
        <v>-0.14769794404521339</v>
      </c>
    </row>
    <row r="9" spans="1:11" x14ac:dyDescent="0.35">
      <c r="A9" s="2" t="s">
        <v>51</v>
      </c>
      <c r="B9" s="18">
        <f>COUNTIF(Data!J$4:J233,"&gt;0")</f>
        <v>178</v>
      </c>
      <c r="C9" s="32">
        <f>+Data!J234</f>
        <v>401920.44</v>
      </c>
      <c r="D9" s="7"/>
      <c r="E9" s="32">
        <f>+C9-C8</f>
        <v>16540.440000000002</v>
      </c>
      <c r="F9" s="44">
        <f>ROUND((+C9/C8),3)</f>
        <v>1.0429999999999999</v>
      </c>
    </row>
    <row r="10" spans="1:11" x14ac:dyDescent="0.35">
      <c r="A10" s="5" t="s">
        <v>535</v>
      </c>
      <c r="B10" s="18"/>
      <c r="C10" s="32"/>
      <c r="D10" s="3"/>
      <c r="E10" s="32"/>
      <c r="F10" s="6"/>
    </row>
    <row r="11" spans="1:11" x14ac:dyDescent="0.35">
      <c r="A11" s="2" t="s">
        <v>49</v>
      </c>
      <c r="B11" s="58">
        <f>COUNTIF(Data!P$4:P233,"&gt;0")</f>
        <v>90</v>
      </c>
      <c r="C11" s="32">
        <f>+Data!P234</f>
        <v>305560</v>
      </c>
      <c r="D11" s="15">
        <f>+C11/C$13</f>
        <v>0.78056506411893933</v>
      </c>
      <c r="E11" s="32"/>
      <c r="F11" s="6"/>
      <c r="G11" s="74"/>
      <c r="H11" s="74"/>
      <c r="I11" s="74"/>
    </row>
    <row r="12" spans="1:11" x14ac:dyDescent="0.35">
      <c r="A12" s="2" t="s">
        <v>515</v>
      </c>
      <c r="B12" s="58">
        <f>COUNTIF(Data!O9:O233,"&gt;0")</f>
        <v>56</v>
      </c>
      <c r="C12" s="32">
        <f>+Data!O234</f>
        <v>85900</v>
      </c>
      <c r="D12" s="15">
        <f>+C12/C$13</f>
        <v>0.21943493588106064</v>
      </c>
      <c r="E12" s="32"/>
      <c r="F12" s="6"/>
    </row>
    <row r="13" spans="1:11" ht="15" thickBot="1" x14ac:dyDescent="0.4">
      <c r="A13" s="9" t="s">
        <v>52</v>
      </c>
      <c r="B13" s="59">
        <f>SUM(B11:B12)</f>
        <v>146</v>
      </c>
      <c r="C13" s="34">
        <f>SUM(C11:C12)</f>
        <v>391460</v>
      </c>
      <c r="D13" s="20">
        <f>+C13/C$8</f>
        <v>1.0157766360475375</v>
      </c>
      <c r="E13" s="34">
        <f>+C13-C8</f>
        <v>6080</v>
      </c>
      <c r="F13" s="21">
        <f>+E13/C8</f>
        <v>1.5776636047537495E-2</v>
      </c>
    </row>
    <row r="14" spans="1:11" ht="15" thickBot="1" x14ac:dyDescent="0.4"/>
    <row r="15" spans="1:11" ht="18.5" x14ac:dyDescent="0.45">
      <c r="A15" s="183" t="s">
        <v>647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5"/>
    </row>
    <row r="16" spans="1:11" x14ac:dyDescent="0.35">
      <c r="A16" s="2"/>
      <c r="B16" s="12">
        <v>2021</v>
      </c>
      <c r="C16" s="12">
        <v>2022</v>
      </c>
      <c r="D16" s="12">
        <v>2023</v>
      </c>
      <c r="E16" s="12">
        <v>2024</v>
      </c>
      <c r="F16" s="12">
        <f>+E16</f>
        <v>2024</v>
      </c>
      <c r="G16" s="38" t="s">
        <v>521</v>
      </c>
      <c r="H16" s="3"/>
      <c r="I16" s="3"/>
      <c r="J16" s="3"/>
      <c r="K16" s="6"/>
    </row>
    <row r="17" spans="1:11" x14ac:dyDescent="0.35">
      <c r="A17" s="2" t="s">
        <v>61</v>
      </c>
      <c r="B17" s="56">
        <v>32</v>
      </c>
      <c r="C17" s="56">
        <v>32</v>
      </c>
      <c r="D17" s="56">
        <v>38</v>
      </c>
      <c r="E17" s="18">
        <f>COUNTIF(Data!R$4:R233,"S")</f>
        <v>42</v>
      </c>
      <c r="F17" s="60">
        <f>SUMIF(Data!R$4:R233,"S",Data!P$4:P233)</f>
        <v>170740</v>
      </c>
      <c r="G17" s="108">
        <f>+F17/F$22</f>
        <v>0.43616205998058549</v>
      </c>
      <c r="H17" s="3" t="s">
        <v>646</v>
      </c>
      <c r="I17" s="3"/>
      <c r="J17" s="3"/>
      <c r="K17" s="6"/>
    </row>
    <row r="18" spans="1:11" x14ac:dyDescent="0.35">
      <c r="A18" s="2" t="s">
        <v>62</v>
      </c>
      <c r="B18" s="56">
        <v>52</v>
      </c>
      <c r="C18" s="56">
        <v>52</v>
      </c>
      <c r="D18" s="56">
        <v>37</v>
      </c>
      <c r="E18" s="18">
        <f>COUNTIF(Data!R$4:R233,"I")</f>
        <v>29</v>
      </c>
      <c r="F18" s="60">
        <f>SUMIF(Data!R$4:R233,"I",Data!P$4:P233)</f>
        <v>86760</v>
      </c>
      <c r="G18" s="108">
        <f>+F18/F$22</f>
        <v>0.2216318397792878</v>
      </c>
      <c r="H18" s="3" t="str">
        <f>+"Increased pledge from 2023 (increase = $"&amp;ROUND(SUMIF(Data!R$4:R233,"I",Data!Q$4:Q233),0)&amp;")"</f>
        <v>Increased pledge from 2023 (increase = $12058)</v>
      </c>
      <c r="I18" s="3"/>
      <c r="J18" s="3"/>
      <c r="K18" s="6"/>
    </row>
    <row r="19" spans="1:11" x14ac:dyDescent="0.35">
      <c r="A19" s="2" t="s">
        <v>63</v>
      </c>
      <c r="B19" s="56">
        <v>10</v>
      </c>
      <c r="C19" s="56">
        <v>0</v>
      </c>
      <c r="D19" s="56">
        <v>12</v>
      </c>
      <c r="E19" s="18">
        <f>COUNTIF(Data!R$4:R233,"N")</f>
        <v>13</v>
      </c>
      <c r="F19" s="60">
        <f>SUMIF(Data!R$4:R233,"N",Data!P$4:P233)</f>
        <v>32880</v>
      </c>
      <c r="G19" s="108">
        <f>+F19/F$22</f>
        <v>8.3993256015940321E-2</v>
      </c>
      <c r="H19" s="3" t="s">
        <v>648</v>
      </c>
      <c r="I19" s="3"/>
      <c r="J19" s="3"/>
      <c r="K19" s="6"/>
    </row>
    <row r="20" spans="1:11" x14ac:dyDescent="0.35">
      <c r="A20" s="2" t="s">
        <v>64</v>
      </c>
      <c r="B20" s="56">
        <v>2</v>
      </c>
      <c r="C20" s="56">
        <v>2</v>
      </c>
      <c r="D20" s="56">
        <v>16</v>
      </c>
      <c r="E20" s="18">
        <f>COUNTIF(Data!R$4:R233,"D")</f>
        <v>7</v>
      </c>
      <c r="F20" s="60">
        <f>SUMIF(Data!R$4:R233,"D",Data!P$4:P233)</f>
        <v>15180</v>
      </c>
      <c r="G20" s="108">
        <f>+F20/F$22</f>
        <v>3.8777908343125736E-2</v>
      </c>
      <c r="H20" s="3" t="str">
        <f>+"Decreased pledge from 2023 (decrease = $"&amp;ABS(ROUND(SUMIF(Data!R$4:R233,"D",Data!Q$4:Q233),0))&amp;")"</f>
        <v>Decreased pledge from 2023 (decrease = $4225)</v>
      </c>
      <c r="I20" s="3"/>
      <c r="J20" s="3"/>
      <c r="K20" s="6"/>
    </row>
    <row r="21" spans="1:11" x14ac:dyDescent="0.35">
      <c r="A21" s="2" t="s">
        <v>517</v>
      </c>
      <c r="B21" s="61" t="s">
        <v>60</v>
      </c>
      <c r="C21" s="61">
        <v>18</v>
      </c>
      <c r="D21" s="61">
        <v>46</v>
      </c>
      <c r="E21" s="58">
        <f>COUNTIF(Data!R$4:R233,"X")+COUNTIF(Data!R$4:R233,"E")</f>
        <v>62</v>
      </c>
      <c r="F21" s="60">
        <f>SUMIF(Data!R$4:R233,"X",Data!O$4:O233)+SUMIF(Data!R$4:R233,"E",Data!O$4:O233)</f>
        <v>85900</v>
      </c>
      <c r="G21" s="108">
        <f>+F21/F$22</f>
        <v>0.21943493588106064</v>
      </c>
      <c r="H21" s="3"/>
      <c r="I21" s="3"/>
      <c r="J21" s="3"/>
      <c r="K21" s="6"/>
    </row>
    <row r="22" spans="1:11" ht="15" thickBot="1" x14ac:dyDescent="0.4">
      <c r="A22" s="9" t="s">
        <v>59</v>
      </c>
      <c r="B22" s="62">
        <f t="shared" ref="B22:G22" si="0">SUM(B17:B21)</f>
        <v>96</v>
      </c>
      <c r="C22" s="62">
        <f t="shared" si="0"/>
        <v>104</v>
      </c>
      <c r="D22" s="62">
        <f t="shared" si="0"/>
        <v>149</v>
      </c>
      <c r="E22" s="62">
        <f t="shared" si="0"/>
        <v>153</v>
      </c>
      <c r="F22" s="63">
        <f t="shared" si="0"/>
        <v>391460</v>
      </c>
      <c r="G22" s="109">
        <f t="shared" si="0"/>
        <v>1</v>
      </c>
      <c r="H22" s="29"/>
      <c r="I22" s="29"/>
      <c r="J22" s="29"/>
      <c r="K22" s="30"/>
    </row>
    <row r="23" spans="1:11" ht="15" thickBot="1" x14ac:dyDescent="0.4">
      <c r="D23" t="str">
        <f>IF(ROWS(Data!R4:R233)-COUNTBLANK(Data!R4:R233)-Summary!E22=0,"","ERROR")</f>
        <v/>
      </c>
      <c r="E23" s="1" t="str">
        <f>IF(+Data!P234++Data!O234-Summary!F22=0,"","ERROR")</f>
        <v/>
      </c>
    </row>
    <row r="24" spans="1:11" ht="19" thickBot="1" x14ac:dyDescent="0.5">
      <c r="A24" s="199" t="s">
        <v>516</v>
      </c>
      <c r="B24" s="200"/>
      <c r="C24" s="200"/>
      <c r="D24" s="200"/>
      <c r="E24" s="200"/>
      <c r="F24" s="201"/>
      <c r="G24" s="1"/>
    </row>
    <row r="25" spans="1:11" ht="29" x14ac:dyDescent="0.35">
      <c r="A25" s="2"/>
      <c r="B25" s="8" t="s">
        <v>48</v>
      </c>
      <c r="C25" s="12" t="s">
        <v>6</v>
      </c>
      <c r="D25" s="8" t="s">
        <v>56</v>
      </c>
      <c r="E25" s="18" t="s">
        <v>55</v>
      </c>
      <c r="F25" s="19" t="s">
        <v>54</v>
      </c>
    </row>
    <row r="26" spans="1:11" x14ac:dyDescent="0.35">
      <c r="A26" s="156" t="str">
        <f>+A8</f>
        <v>Total 2023 Budget</v>
      </c>
      <c r="B26" s="64"/>
      <c r="C26" s="48">
        <f>+C8</f>
        <v>385380</v>
      </c>
      <c r="D26" s="49"/>
      <c r="E26" s="50"/>
      <c r="F26" s="51"/>
    </row>
    <row r="27" spans="1:11" x14ac:dyDescent="0.35">
      <c r="A27" s="43" t="s">
        <v>393</v>
      </c>
      <c r="B27" s="65"/>
      <c r="C27" s="45">
        <f>+C26-C29-C30-C31</f>
        <v>283136</v>
      </c>
      <c r="D27" s="40"/>
      <c r="E27" s="41"/>
      <c r="F27" s="42"/>
    </row>
    <row r="28" spans="1:11" x14ac:dyDescent="0.35">
      <c r="A28" s="52" t="s">
        <v>392</v>
      </c>
      <c r="B28" s="66">
        <f>+B9</f>
        <v>178</v>
      </c>
      <c r="C28" s="53">
        <f>+C9</f>
        <v>401920.44</v>
      </c>
      <c r="D28" s="54"/>
      <c r="E28" s="53">
        <f>+C28-C27</f>
        <v>118784.44</v>
      </c>
      <c r="F28" s="55">
        <f>+E28/C27</f>
        <v>0.41953139127486438</v>
      </c>
    </row>
    <row r="29" spans="1:11" x14ac:dyDescent="0.35">
      <c r="A29" s="2" t="s">
        <v>387</v>
      </c>
      <c r="B29" s="18"/>
      <c r="C29" s="155">
        <v>24255</v>
      </c>
      <c r="D29" s="3"/>
      <c r="E29" s="3"/>
      <c r="F29" s="6"/>
    </row>
    <row r="30" spans="1:11" x14ac:dyDescent="0.35">
      <c r="A30" s="2" t="s">
        <v>388</v>
      </c>
      <c r="B30" s="18"/>
      <c r="C30" s="155">
        <v>23344</v>
      </c>
      <c r="D30" s="3"/>
      <c r="E30" s="3"/>
      <c r="F30" s="6"/>
    </row>
    <row r="31" spans="1:11" x14ac:dyDescent="0.35">
      <c r="A31" s="2" t="s">
        <v>389</v>
      </c>
      <c r="B31" s="18"/>
      <c r="C31" s="155">
        <v>54645</v>
      </c>
      <c r="D31" s="3"/>
      <c r="E31" s="3"/>
      <c r="F31" s="6"/>
    </row>
    <row r="32" spans="1:11" ht="15" thickBot="1" x14ac:dyDescent="0.4">
      <c r="A32" s="9" t="s">
        <v>390</v>
      </c>
      <c r="B32" s="62"/>
      <c r="C32" s="36">
        <f>+SUM(C28:C31)</f>
        <v>504164.44</v>
      </c>
      <c r="D32" s="29"/>
      <c r="E32" s="36">
        <f>+C32-C26</f>
        <v>118784.44</v>
      </c>
      <c r="F32" s="47">
        <f>+E32/C26</f>
        <v>0.30822678914318336</v>
      </c>
    </row>
  </sheetData>
  <mergeCells count="3">
    <mergeCell ref="A1:E1"/>
    <mergeCell ref="A24:F24"/>
    <mergeCell ref="A15:K15"/>
  </mergeCells>
  <pageMargins left="0.7" right="0.7" top="0.5" bottom="0.5" header="0.3" footer="0.3"/>
  <pageSetup orientation="landscape" horizontalDpi="0" verticalDpi="0" r:id="rId1"/>
  <headerFooter>
    <oddFooter>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10" sqref="C10"/>
    </sheetView>
  </sheetViews>
  <sheetFormatPr defaultRowHeight="14.5" x14ac:dyDescent="0.35"/>
  <cols>
    <col min="1" max="1" width="10.81640625" customWidth="1"/>
  </cols>
  <sheetData>
    <row r="2" spans="1:3" x14ac:dyDescent="0.35">
      <c r="A2" t="s">
        <v>391</v>
      </c>
      <c r="B2" s="46">
        <v>9</v>
      </c>
    </row>
    <row r="3" spans="1:3" x14ac:dyDescent="0.35">
      <c r="A3" s="37" t="s">
        <v>46</v>
      </c>
      <c r="B3">
        <f>+B2/12</f>
        <v>0.75</v>
      </c>
    </row>
    <row r="4" spans="1:3" x14ac:dyDescent="0.35">
      <c r="A4" s="37" t="s">
        <v>44</v>
      </c>
      <c r="B4">
        <f>+B2/12</f>
        <v>0.75</v>
      </c>
    </row>
    <row r="5" spans="1:3" x14ac:dyDescent="0.35">
      <c r="A5" s="37" t="s">
        <v>43</v>
      </c>
      <c r="B5">
        <f>+(13+13+13)/52</f>
        <v>0.75</v>
      </c>
    </row>
    <row r="8" spans="1:3" x14ac:dyDescent="0.35">
      <c r="B8">
        <v>2024</v>
      </c>
      <c r="C8">
        <v>2023</v>
      </c>
    </row>
    <row r="9" spans="1:3" x14ac:dyDescent="0.35">
      <c r="A9" t="s">
        <v>505</v>
      </c>
      <c r="B9" s="46">
        <v>52</v>
      </c>
      <c r="C9" s="46">
        <v>53</v>
      </c>
    </row>
    <row r="10" spans="1:3" x14ac:dyDescent="0.35">
      <c r="A10" t="s">
        <v>506</v>
      </c>
      <c r="B10" s="46">
        <v>26</v>
      </c>
      <c r="C10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Print</vt:lpstr>
      <vt:lpstr>Data</vt:lpstr>
      <vt:lpstr>Summary</vt:lpstr>
      <vt:lpstr>Lookups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cp:lastPrinted>2022-11-21T19:18:47Z</cp:lastPrinted>
  <dcterms:created xsi:type="dcterms:W3CDTF">2022-09-28T19:27:14Z</dcterms:created>
  <dcterms:modified xsi:type="dcterms:W3CDTF">2024-03-17T21:01:01Z</dcterms:modified>
</cp:coreProperties>
</file>